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3e74e4cf90369b4/2024-2025 (MNT-GSI)/S4 Degraders/"/>
    </mc:Choice>
  </mc:AlternateContent>
  <xr:revisionPtr revIDLastSave="137" documentId="13_ncr:1_{12FB3E0F-97E3-4C0C-8AC9-77C9C6BB7212}" xr6:coauthVersionLast="47" xr6:coauthVersionMax="47" xr10:uidLastSave="{0C4FC815-CE07-471F-B8C2-C6EFCDB91822}"/>
  <workbookProtection lockStructure="1"/>
  <bookViews>
    <workbookView xWindow="-26988" yWindow="-108" windowWidth="27096" windowHeight="16296" xr2:uid="{00000000-000D-0000-FFFF-FFFF00000000}"/>
  </bookViews>
  <sheets>
    <sheet name="ioncatch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" l="1"/>
  <c r="J10" i="2" l="1"/>
  <c r="J9" i="2"/>
  <c r="K22" i="2" l="1"/>
  <c r="J13" i="2"/>
  <c r="M25" i="2"/>
  <c r="M26" i="2" l="1"/>
  <c r="L12" i="2" l="1"/>
  <c r="K12" i="2"/>
  <c r="D21" i="2" l="1"/>
  <c r="E21" i="2" s="1"/>
  <c r="F16" i="2"/>
  <c r="L13" i="2"/>
  <c r="K13" i="2"/>
  <c r="E16" i="2"/>
  <c r="D16" i="2"/>
  <c r="K14" i="2" l="1"/>
  <c r="K24" i="2" s="1"/>
  <c r="J12" i="2"/>
  <c r="D15" i="2"/>
  <c r="E13" i="2"/>
  <c r="E15" i="2" s="1"/>
  <c r="F13" i="2"/>
  <c r="F15" i="2" s="1"/>
  <c r="C11" i="2"/>
  <c r="C12" i="2" s="1"/>
  <c r="D24" i="2" l="1"/>
  <c r="J15" i="2"/>
  <c r="J14" i="2"/>
  <c r="L15" i="2"/>
  <c r="L14" i="2"/>
  <c r="L24" i="2" s="1"/>
  <c r="K15" i="2"/>
  <c r="C13" i="2"/>
  <c r="C15" i="2" s="1"/>
  <c r="C16" i="2"/>
  <c r="K25" i="2" l="1"/>
</calcChain>
</file>

<file path=xl/sharedStrings.xml><?xml version="1.0" encoding="utf-8"?>
<sst xmlns="http://schemas.openxmlformats.org/spreadsheetml/2006/main" count="120" uniqueCount="73">
  <si>
    <t>mg/cm^2</t>
  </si>
  <si>
    <t>slope =</t>
  </si>
  <si>
    <t>mm</t>
  </si>
  <si>
    <t>dist =</t>
  </si>
  <si>
    <t>center =</t>
  </si>
  <si>
    <t>min =</t>
  </si>
  <si>
    <t>max =</t>
  </si>
  <si>
    <t>rho =</t>
  </si>
  <si>
    <t>mg/cm^3</t>
  </si>
  <si>
    <t>Kugler-1</t>
  </si>
  <si>
    <t>Kugler-2</t>
  </si>
  <si>
    <t>ESS</t>
  </si>
  <si>
    <t>Wedge plate degraders</t>
  </si>
  <si>
    <t>(Bad !!)</t>
  </si>
  <si>
    <t>Design</t>
  </si>
  <si>
    <t>center rho*d =</t>
  </si>
  <si>
    <t>data measured in GSI target lab (Birgit Kindler), fitted by Helmut Weick</t>
  </si>
  <si>
    <t>mm at Y=240mm</t>
  </si>
  <si>
    <t>center meas.=</t>
  </si>
  <si>
    <t>Wedge disk degraders</t>
  </si>
  <si>
    <t>material AlMg3</t>
  </si>
  <si>
    <t>g/cm^3</t>
  </si>
  <si>
    <t>cos(phi)</t>
  </si>
  <si>
    <t>phi [°]</t>
  </si>
  <si>
    <t>[~mrad]</t>
  </si>
  <si>
    <t>HFSED4</t>
  </si>
  <si>
    <t>thin edge on beam height =</t>
  </si>
  <si>
    <t>pos =</t>
  </si>
  <si>
    <t>full width: dy=500mm, dx=290mm</t>
  </si>
  <si>
    <t>drives as mounted on 27.11.2019</t>
  </si>
  <si>
    <t>drive name:</t>
  </si>
  <si>
    <t>drive  location:</t>
  </si>
  <si>
    <t>upper</t>
  </si>
  <si>
    <t>lower</t>
  </si>
  <si>
    <t>rho *x =</t>
  </si>
  <si>
    <t>sum rho*x =</t>
  </si>
  <si>
    <t>material AlMg3 (3%Mg)</t>
  </si>
  <si>
    <t>mean thickness =</t>
  </si>
  <si>
    <t xml:space="preserve"> = input</t>
  </si>
  <si>
    <t xml:space="preserve"> = output</t>
  </si>
  <si>
    <t>thick edge on beam height =</t>
  </si>
  <si>
    <t>out position =</t>
  </si>
  <si>
    <t xml:space="preserve">Degrader ladders </t>
  </si>
  <si>
    <t>HFSEM1GL</t>
  </si>
  <si>
    <t>HFSEM1GR</t>
  </si>
  <si>
    <t>order in beam:</t>
  </si>
  <si>
    <t>first</t>
  </si>
  <si>
    <t>second</t>
  </si>
  <si>
    <t>Ta plates and Al wedges</t>
  </si>
  <si>
    <t>moving direction:</t>
  </si>
  <si>
    <t>from below</t>
  </si>
  <si>
    <t>from top</t>
  </si>
  <si>
    <t>Thick edge of wedges on crane (=Messel) side.</t>
  </si>
  <si>
    <t xml:space="preserve"> = fixed measured parameters</t>
  </si>
  <si>
    <t>Ion catcher degrader calculator</t>
  </si>
  <si>
    <t>HFSED5</t>
  </si>
  <si>
    <t>disks HFSED4_P , calculate degrader positions</t>
  </si>
  <si>
    <t>H. Weick, 15.12.2019</t>
  </si>
  <si>
    <t>end2</t>
  </si>
  <si>
    <t>end1</t>
  </si>
  <si>
    <t>Pressure drive in/out = TS3ED7DP.</t>
  </si>
  <si>
    <t>attention: definition of slope (mrad) is opposite to LISE++ !</t>
  </si>
  <si>
    <t>(use same sign for the two discs)</t>
  </si>
  <si>
    <t xml:space="preserve"> phi&gt;0° means thicker on crane (=Messel) side…</t>
  </si>
  <si>
    <t>For full available vertical aperture on HFSEM1GL &amp; R choose the empty target position</t>
  </si>
  <si>
    <t>Update: TD 17.05.2022</t>
  </si>
  <si>
    <t>Empty</t>
  </si>
  <si>
    <t>drives as mounted on 31/01/2025</t>
  </si>
  <si>
    <t>drives as mounted on 30.01.2025</t>
  </si>
  <si>
    <t>N.A.</t>
  </si>
  <si>
    <t>18 mrad Al wedge (Keil-2, 2018)</t>
  </si>
  <si>
    <t>8mm Ta Plate</t>
  </si>
  <si>
    <t>D5 min is 74.8mm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</si>
</sst>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"/>
    <numFmt numFmtId="166" formatCode="0.000"/>
    <numFmt numFmtId="167" formatCode="0.0"/>
    <numFmt numFmtId="168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4" borderId="0" xfId="0" applyFill="1"/>
    <xf numFmtId="0" fontId="1" fillId="0" borderId="0" xfId="0" applyFont="1"/>
    <xf numFmtId="0" fontId="0" fillId="0" borderId="0" xfId="0" applyAlignment="1">
      <alignment horizontal="center"/>
    </xf>
    <xf numFmtId="167" fontId="0" fillId="0" borderId="0" xfId="0" applyNumberFormat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6" borderId="0" xfId="0" applyFill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0" fillId="5" borderId="0" xfId="0" applyFill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166" fontId="0" fillId="2" borderId="0" xfId="0" applyNumberFormat="1" applyFill="1"/>
    <xf numFmtId="0" fontId="5" fillId="0" borderId="0" xfId="0" applyFont="1"/>
    <xf numFmtId="0" fontId="0" fillId="2" borderId="0" xfId="0" applyFill="1"/>
    <xf numFmtId="168" fontId="0" fillId="0" borderId="0" xfId="0" applyNumberFormat="1"/>
    <xf numFmtId="164" fontId="0" fillId="6" borderId="0" xfId="0" applyNumberFormat="1" applyFill="1"/>
    <xf numFmtId="164" fontId="5" fillId="6" borderId="0" xfId="0" applyNumberFormat="1" applyFont="1" applyFill="1"/>
    <xf numFmtId="165" fontId="0" fillId="2" borderId="0" xfId="0" applyNumberFormat="1" applyFill="1"/>
    <xf numFmtId="0" fontId="2" fillId="6" borderId="0" xfId="0" applyFont="1" applyFill="1"/>
    <xf numFmtId="165" fontId="0" fillId="6" borderId="0" xfId="0" applyNumberFormat="1" applyFill="1"/>
    <xf numFmtId="165" fontId="5" fillId="6" borderId="0" xfId="0" applyNumberFormat="1" applyFont="1" applyFill="1"/>
    <xf numFmtId="167" fontId="0" fillId="6" borderId="0" xfId="0" applyNumberFormat="1" applyFill="1"/>
    <xf numFmtId="2" fontId="0" fillId="6" borderId="0" xfId="0" applyNumberFormat="1" applyFill="1"/>
    <xf numFmtId="168" fontId="0" fillId="0" borderId="0" xfId="0" applyNumberFormat="1" applyAlignment="1">
      <alignment horizontal="center"/>
    </xf>
    <xf numFmtId="167" fontId="0" fillId="4" borderId="0" xfId="0" applyNumberFormat="1" applyFill="1" applyProtection="1">
      <protection locked="0"/>
    </xf>
    <xf numFmtId="164" fontId="0" fillId="0" borderId="0" xfId="0" applyNumberFormat="1"/>
    <xf numFmtId="2" fontId="0" fillId="5" borderId="0" xfId="0" applyNumberFormat="1" applyFill="1"/>
    <xf numFmtId="167" fontId="0" fillId="5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2" borderId="0" xfId="0" applyNumberFormat="1" applyFill="1"/>
    <xf numFmtId="0" fontId="2" fillId="2" borderId="0" xfId="0" applyFont="1" applyFill="1"/>
    <xf numFmtId="0" fontId="0" fillId="4" borderId="0" xfId="0" applyFill="1" applyProtection="1">
      <protection locked="0"/>
    </xf>
    <xf numFmtId="0" fontId="3" fillId="0" borderId="0" xfId="0" applyFont="1"/>
    <xf numFmtId="0" fontId="3" fillId="0" borderId="8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152400</xdr:colOff>
      <xdr:row>2</xdr:row>
      <xdr:rowOff>47625</xdr:rowOff>
    </xdr:from>
    <xdr:to>
      <xdr:col>31</xdr:col>
      <xdr:colOff>22342</xdr:colOff>
      <xdr:row>31</xdr:row>
      <xdr:rowOff>109789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8575" y="428625"/>
          <a:ext cx="4142857" cy="5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27</xdr:row>
      <xdr:rowOff>190499</xdr:rowOff>
    </xdr:from>
    <xdr:to>
      <xdr:col>5</xdr:col>
      <xdr:colOff>210504</xdr:colOff>
      <xdr:row>35</xdr:row>
      <xdr:rowOff>129539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" y="5333999"/>
          <a:ext cx="2528889" cy="1457326"/>
        </a:xfrm>
        <a:prstGeom prst="rect">
          <a:avLst/>
        </a:prstGeom>
      </xdr:spPr>
    </xdr:pic>
    <xdr:clientData/>
  </xdr:twoCellAnchor>
  <xdr:twoCellAnchor editAs="oneCell">
    <xdr:from>
      <xdr:col>6</xdr:col>
      <xdr:colOff>190773</xdr:colOff>
      <xdr:row>28</xdr:row>
      <xdr:rowOff>159476</xdr:rowOff>
    </xdr:from>
    <xdr:to>
      <xdr:col>23</xdr:col>
      <xdr:colOff>324488</xdr:colOff>
      <xdr:row>60</xdr:row>
      <xdr:rowOff>58239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5921E1-CB5D-8A28-563E-23BCDECBD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544" y="5645876"/>
          <a:ext cx="10943230" cy="6168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topLeftCell="A6" zoomScale="70" zoomScaleNormal="70" workbookViewId="0">
      <selection activeCell="AA44" sqref="AA44"/>
    </sheetView>
  </sheetViews>
  <sheetFormatPr defaultColWidth="9.140625" defaultRowHeight="15" x14ac:dyDescent="0.25"/>
  <cols>
    <col min="3" max="4" width="10.140625" customWidth="1"/>
    <col min="5" max="5" width="9.7109375" customWidth="1"/>
    <col min="18" max="18" width="10.85546875" customWidth="1"/>
    <col min="19" max="19" width="10.140625" customWidth="1"/>
    <col min="20" max="20" width="11.140625" customWidth="1"/>
    <col min="23" max="23" width="10.85546875" bestFit="1" customWidth="1"/>
  </cols>
  <sheetData>
    <row r="1" spans="1:24" x14ac:dyDescent="0.25">
      <c r="B1" t="s">
        <v>57</v>
      </c>
      <c r="D1" t="s">
        <v>65</v>
      </c>
      <c r="J1" s="10"/>
      <c r="K1" t="s">
        <v>53</v>
      </c>
    </row>
    <row r="2" spans="1:24" x14ac:dyDescent="0.25">
      <c r="B2" s="6" t="s">
        <v>54</v>
      </c>
      <c r="C2" s="6"/>
      <c r="D2" s="6"/>
      <c r="E2" s="3"/>
      <c r="J2" s="2"/>
      <c r="K2" t="s">
        <v>38</v>
      </c>
    </row>
    <row r="3" spans="1:24" ht="15.75" thickBot="1" x14ac:dyDescent="0.3">
      <c r="B3" t="s">
        <v>16</v>
      </c>
      <c r="C3" s="3"/>
      <c r="D3" s="3"/>
      <c r="E3" s="3"/>
      <c r="J3" s="14"/>
      <c r="K3" t="s">
        <v>39</v>
      </c>
      <c r="Q3" s="13" t="s">
        <v>29</v>
      </c>
    </row>
    <row r="4" spans="1:24" ht="15.75" thickBot="1" x14ac:dyDescent="0.3">
      <c r="A4" s="16"/>
      <c r="B4" s="17"/>
      <c r="C4" s="17"/>
      <c r="D4" s="17"/>
      <c r="E4" s="17"/>
      <c r="F4" s="17"/>
      <c r="G4" s="18"/>
      <c r="H4" s="16"/>
      <c r="I4" s="17"/>
      <c r="J4" s="17"/>
      <c r="K4" s="17"/>
      <c r="L4" s="17"/>
      <c r="M4" s="17"/>
      <c r="N4" s="17"/>
      <c r="O4" s="17"/>
      <c r="P4" s="16"/>
      <c r="Q4" s="49" t="s">
        <v>42</v>
      </c>
      <c r="R4" s="50"/>
      <c r="S4" s="17"/>
      <c r="T4" s="17"/>
      <c r="U4" s="17"/>
      <c r="V4" s="17"/>
      <c r="W4" s="17"/>
      <c r="X4" s="18"/>
    </row>
    <row r="5" spans="1:24" ht="15.75" thickBot="1" x14ac:dyDescent="0.3">
      <c r="A5" s="19"/>
      <c r="B5" s="49" t="s">
        <v>19</v>
      </c>
      <c r="C5" s="50"/>
      <c r="G5" s="20"/>
      <c r="H5" s="19"/>
      <c r="I5" s="49" t="s">
        <v>12</v>
      </c>
      <c r="J5" s="51"/>
      <c r="K5" s="50"/>
      <c r="P5" s="19"/>
      <c r="Q5" t="s">
        <v>48</v>
      </c>
      <c r="X5" s="20"/>
    </row>
    <row r="6" spans="1:24" x14ac:dyDescent="0.25">
      <c r="A6" s="19"/>
      <c r="B6" t="s">
        <v>20</v>
      </c>
      <c r="D6" s="1" t="s">
        <v>7</v>
      </c>
      <c r="E6" s="10">
        <v>2.67</v>
      </c>
      <c r="F6" t="s">
        <v>21</v>
      </c>
      <c r="G6" s="20"/>
      <c r="H6" s="19"/>
      <c r="I6" t="s">
        <v>28</v>
      </c>
      <c r="P6" s="19"/>
      <c r="X6" s="20"/>
    </row>
    <row r="7" spans="1:24" x14ac:dyDescent="0.25">
      <c r="A7" s="19"/>
      <c r="B7" s="3"/>
      <c r="F7" s="21" t="s">
        <v>13</v>
      </c>
      <c r="G7" s="20"/>
      <c r="H7" s="19"/>
      <c r="I7" t="s">
        <v>36</v>
      </c>
      <c r="P7" s="19"/>
      <c r="Q7" s="13" t="s">
        <v>68</v>
      </c>
      <c r="X7" s="20"/>
    </row>
    <row r="8" spans="1:24" x14ac:dyDescent="0.25">
      <c r="A8" s="19"/>
      <c r="B8" s="9"/>
      <c r="C8" s="8" t="s">
        <v>14</v>
      </c>
      <c r="D8" s="8" t="s">
        <v>11</v>
      </c>
      <c r="E8" s="8" t="s">
        <v>10</v>
      </c>
      <c r="F8" s="15" t="s">
        <v>9</v>
      </c>
      <c r="G8" s="20"/>
      <c r="H8" s="19"/>
      <c r="J8" s="8" t="s">
        <v>14</v>
      </c>
      <c r="K8" s="8" t="s">
        <v>9</v>
      </c>
      <c r="L8" s="8" t="s">
        <v>10</v>
      </c>
      <c r="P8" s="19"/>
      <c r="Q8" s="13"/>
      <c r="R8" s="3" t="s">
        <v>43</v>
      </c>
      <c r="S8" s="47"/>
      <c r="X8" s="20"/>
    </row>
    <row r="9" spans="1:24" x14ac:dyDescent="0.25">
      <c r="A9" s="19"/>
      <c r="B9" s="1" t="s">
        <v>5</v>
      </c>
      <c r="C9" s="22">
        <v>0.5</v>
      </c>
      <c r="F9" s="23"/>
      <c r="G9" s="20" t="s">
        <v>2</v>
      </c>
      <c r="H9" s="19"/>
      <c r="I9" s="1" t="s">
        <v>18</v>
      </c>
      <c r="J9" s="22">
        <f>(8+0.5)/2</f>
        <v>4.25</v>
      </c>
      <c r="K9" s="30">
        <v>4.3594818801899651</v>
      </c>
      <c r="L9" s="30">
        <v>4.3361302455915816</v>
      </c>
      <c r="M9" t="s">
        <v>17</v>
      </c>
      <c r="P9" s="19"/>
      <c r="Q9" s="1" t="s">
        <v>45</v>
      </c>
      <c r="R9" s="1" t="s">
        <v>46</v>
      </c>
      <c r="X9" s="20"/>
    </row>
    <row r="10" spans="1:24" x14ac:dyDescent="0.25">
      <c r="A10" s="19"/>
      <c r="B10" s="1" t="s">
        <v>6</v>
      </c>
      <c r="C10" s="24">
        <v>3.2170000000000001</v>
      </c>
      <c r="F10" s="23"/>
      <c r="G10" s="20" t="s">
        <v>2</v>
      </c>
      <c r="H10" s="19"/>
      <c r="I10" s="1" t="s">
        <v>1</v>
      </c>
      <c r="J10" s="44">
        <f>(8-0.5)/500</f>
        <v>1.4999999999999999E-2</v>
      </c>
      <c r="K10" s="26">
        <v>1.49567230830765E-2</v>
      </c>
      <c r="L10" s="26">
        <v>1.49903118767613E-2</v>
      </c>
      <c r="P10" s="19"/>
      <c r="Q10" s="1" t="s">
        <v>49</v>
      </c>
      <c r="R10" s="13" t="s">
        <v>50</v>
      </c>
      <c r="X10" s="20"/>
    </row>
    <row r="11" spans="1:24" x14ac:dyDescent="0.25">
      <c r="A11" s="19"/>
      <c r="B11" s="1" t="s">
        <v>3</v>
      </c>
      <c r="C11" s="24">
        <f>310/2+140</f>
        <v>295</v>
      </c>
      <c r="F11" s="23"/>
      <c r="G11" s="20" t="s">
        <v>2</v>
      </c>
      <c r="H11" s="19"/>
      <c r="I11" s="1" t="s">
        <v>7</v>
      </c>
      <c r="J11" s="10">
        <v>2670</v>
      </c>
      <c r="K11" t="s">
        <v>8</v>
      </c>
      <c r="M11" s="4"/>
      <c r="P11" s="19"/>
      <c r="Q11" s="1" t="s">
        <v>27</v>
      </c>
      <c r="R11" s="10">
        <v>-31.9</v>
      </c>
      <c r="S11" s="52" t="s">
        <v>59</v>
      </c>
      <c r="X11" s="20"/>
    </row>
    <row r="12" spans="1:24" x14ac:dyDescent="0.25">
      <c r="A12" s="19"/>
      <c r="B12" s="1" t="s">
        <v>1</v>
      </c>
      <c r="C12" s="25">
        <f>(C10-C9)/C11</f>
        <v>9.2101694915254235E-3</v>
      </c>
      <c r="D12" s="26">
        <v>9.2420000000000002E-3</v>
      </c>
      <c r="E12" s="10">
        <v>9.2200000000000008E-3</v>
      </c>
      <c r="F12" s="27">
        <v>9.1830000000000002E-3</v>
      </c>
      <c r="G12" s="20"/>
      <c r="H12" s="19"/>
      <c r="I12" s="1" t="s">
        <v>15</v>
      </c>
      <c r="J12" s="11">
        <f>$J$11*J9/10</f>
        <v>1134.75</v>
      </c>
      <c r="K12" s="5">
        <f>$J$11*K9/10</f>
        <v>1163.9816620107208</v>
      </c>
      <c r="L12" s="5">
        <f>$J$11*L9/10</f>
        <v>1157.7467755729524</v>
      </c>
      <c r="M12" t="s">
        <v>0</v>
      </c>
      <c r="P12" s="19"/>
      <c r="Q12" s="1" t="s">
        <v>27</v>
      </c>
      <c r="R12" s="10">
        <v>-240</v>
      </c>
      <c r="S12" s="13" t="s">
        <v>70</v>
      </c>
      <c r="X12" s="20"/>
    </row>
    <row r="13" spans="1:24" x14ac:dyDescent="0.25">
      <c r="A13" s="19"/>
      <c r="B13" s="1" t="s">
        <v>4</v>
      </c>
      <c r="C13" s="28">
        <f>C9+140*C12</f>
        <v>1.7894237288135593</v>
      </c>
      <c r="D13" s="29">
        <v>1.806</v>
      </c>
      <c r="E13" s="30">
        <f>510/267</f>
        <v>1.9101123595505618</v>
      </c>
      <c r="F13" s="31">
        <f>529.9/267</f>
        <v>1.9846441947565543</v>
      </c>
      <c r="G13" s="20" t="s">
        <v>2</v>
      </c>
      <c r="H13" s="19"/>
      <c r="I13" s="1" t="s">
        <v>1</v>
      </c>
      <c r="J13" s="11">
        <f>J10*$J$11</f>
        <v>40.049999999999997</v>
      </c>
      <c r="K13" s="11">
        <f>K10*$C$14</f>
        <v>39.934450631814258</v>
      </c>
      <c r="L13" s="11">
        <f>L10*$C$14</f>
        <v>40.024132710952671</v>
      </c>
      <c r="M13" t="s">
        <v>8</v>
      </c>
      <c r="P13" s="19"/>
      <c r="Q13" s="1" t="s">
        <v>27</v>
      </c>
      <c r="R13" s="10">
        <v>-445</v>
      </c>
      <c r="S13" s="13" t="s">
        <v>71</v>
      </c>
      <c r="X13" s="20"/>
    </row>
    <row r="14" spans="1:24" x14ac:dyDescent="0.25">
      <c r="A14" s="19"/>
      <c r="B14" s="1" t="s">
        <v>7</v>
      </c>
      <c r="C14" s="10">
        <v>2670</v>
      </c>
      <c r="F14" s="23"/>
      <c r="G14" s="20" t="s">
        <v>8</v>
      </c>
      <c r="H14" s="19"/>
      <c r="I14" s="1" t="s">
        <v>5</v>
      </c>
      <c r="J14" s="5">
        <f>J12-25*J13</f>
        <v>133.50000000000011</v>
      </c>
      <c r="K14" s="5">
        <f>K12-25*K13</f>
        <v>165.62039621536439</v>
      </c>
      <c r="L14" s="5">
        <f t="shared" ref="L14" si="0">L12-25*L13</f>
        <v>157.1434577991356</v>
      </c>
      <c r="M14" t="s">
        <v>0</v>
      </c>
      <c r="P14" s="19"/>
      <c r="Q14" s="1" t="s">
        <v>27</v>
      </c>
      <c r="R14" s="10">
        <v>-620</v>
      </c>
      <c r="S14" s="13" t="s">
        <v>66</v>
      </c>
      <c r="X14" s="20"/>
    </row>
    <row r="15" spans="1:24" x14ac:dyDescent="0.25">
      <c r="A15" s="19"/>
      <c r="B15" s="1" t="s">
        <v>15</v>
      </c>
      <c r="C15" s="11">
        <f>$C$14*C13/10</f>
        <v>477.77613559322037</v>
      </c>
      <c r="D15" s="32">
        <f>$C$14*D13/10</f>
        <v>482.20200000000006</v>
      </c>
      <c r="E15" s="32">
        <f>$C$14*E13/10</f>
        <v>510</v>
      </c>
      <c r="F15" s="23">
        <f>$C$14*F13/10</f>
        <v>529.9</v>
      </c>
      <c r="G15" s="20" t="s">
        <v>0</v>
      </c>
      <c r="H15" s="19"/>
      <c r="I15" s="1" t="s">
        <v>6</v>
      </c>
      <c r="J15" s="5">
        <f>J12+25*J13</f>
        <v>2136</v>
      </c>
      <c r="K15" s="5">
        <f t="shared" ref="K15:L15" si="1">K12+25*K13</f>
        <v>2162.3429278060771</v>
      </c>
      <c r="L15" s="5">
        <f t="shared" si="1"/>
        <v>2158.3500933467694</v>
      </c>
      <c r="M15" t="s">
        <v>0</v>
      </c>
      <c r="P15" s="19"/>
      <c r="Q15" s="1" t="s">
        <v>27</v>
      </c>
      <c r="R15" s="10">
        <v>-800</v>
      </c>
      <c r="S15" s="52" t="s">
        <v>58</v>
      </c>
      <c r="X15" s="20"/>
    </row>
    <row r="16" spans="1:24" x14ac:dyDescent="0.25">
      <c r="A16" s="19"/>
      <c r="B16" s="1" t="s">
        <v>1</v>
      </c>
      <c r="C16" s="11">
        <f>C12*$C$14</f>
        <v>24.591152542372882</v>
      </c>
      <c r="D16" s="33">
        <f>D12*$C$14</f>
        <v>24.67614</v>
      </c>
      <c r="E16" s="33">
        <f>E12*$C$14</f>
        <v>24.617400000000004</v>
      </c>
      <c r="F16" s="23">
        <f>$C$14*F14/10</f>
        <v>0</v>
      </c>
      <c r="G16" s="20" t="s">
        <v>8</v>
      </c>
      <c r="H16" s="19"/>
      <c r="P16" s="19"/>
      <c r="X16" s="20"/>
    </row>
    <row r="17" spans="1:24" x14ac:dyDescent="0.25">
      <c r="A17" s="19"/>
      <c r="G17" s="20"/>
      <c r="H17" s="19"/>
      <c r="I17" s="13" t="s">
        <v>67</v>
      </c>
      <c r="P17" s="19"/>
      <c r="R17" s="7" t="s">
        <v>44</v>
      </c>
      <c r="U17" s="1"/>
      <c r="X17" s="20"/>
    </row>
    <row r="18" spans="1:24" x14ac:dyDescent="0.25">
      <c r="A18" s="19"/>
      <c r="B18" s="13" t="s">
        <v>29</v>
      </c>
      <c r="G18" s="20"/>
      <c r="H18" s="19"/>
      <c r="I18" s="1" t="s">
        <v>31</v>
      </c>
      <c r="J18" s="1" t="s">
        <v>31</v>
      </c>
      <c r="K18" s="4" t="s">
        <v>32</v>
      </c>
      <c r="L18" s="4" t="s">
        <v>33</v>
      </c>
      <c r="N18" s="1"/>
      <c r="P18" s="19"/>
      <c r="Q18" s="1" t="s">
        <v>45</v>
      </c>
      <c r="R18" s="1" t="s">
        <v>47</v>
      </c>
      <c r="X18" s="20"/>
    </row>
    <row r="19" spans="1:24" x14ac:dyDescent="0.25">
      <c r="A19" s="19"/>
      <c r="B19" s="3" t="s">
        <v>56</v>
      </c>
      <c r="G19" s="20"/>
      <c r="H19" s="19"/>
      <c r="I19" s="1" t="s">
        <v>30</v>
      </c>
      <c r="J19" s="1" t="s">
        <v>30</v>
      </c>
      <c r="K19" s="7" t="s">
        <v>25</v>
      </c>
      <c r="L19" s="7" t="s">
        <v>55</v>
      </c>
      <c r="N19" s="1"/>
      <c r="P19" s="19"/>
      <c r="Q19" s="1" t="s">
        <v>49</v>
      </c>
      <c r="R19" s="1" t="s">
        <v>51</v>
      </c>
      <c r="X19" s="20"/>
    </row>
    <row r="20" spans="1:24" x14ac:dyDescent="0.25">
      <c r="A20" s="19"/>
      <c r="C20" s="34" t="s">
        <v>24</v>
      </c>
      <c r="D20" s="4" t="s">
        <v>22</v>
      </c>
      <c r="E20" s="4" t="s">
        <v>23</v>
      </c>
      <c r="G20" s="20"/>
      <c r="H20" s="19"/>
      <c r="I20" s="1"/>
      <c r="J20" s="1" t="s">
        <v>41</v>
      </c>
      <c r="K20" s="45">
        <v>263.60000000000002</v>
      </c>
      <c r="L20" s="45">
        <v>611</v>
      </c>
      <c r="M20" t="s">
        <v>2</v>
      </c>
      <c r="N20" s="1"/>
      <c r="P20" s="19"/>
      <c r="Q20" s="1" t="s">
        <v>27</v>
      </c>
      <c r="R20" s="10">
        <v>6.9</v>
      </c>
      <c r="S20" s="52" t="s">
        <v>59</v>
      </c>
      <c r="X20" s="20"/>
    </row>
    <row r="21" spans="1:24" x14ac:dyDescent="0.25">
      <c r="A21" s="19"/>
      <c r="B21" s="4" t="s">
        <v>1</v>
      </c>
      <c r="C21" s="35">
        <v>5</v>
      </c>
      <c r="D21" s="36">
        <f>C21/1000/(D12+E12)</f>
        <v>0.27082656266926664</v>
      </c>
      <c r="E21" s="37">
        <f>ACOS(D21)*180/PI()-90</f>
        <v>-15.713458056618833</v>
      </c>
      <c r="G21" s="20"/>
      <c r="H21" s="19"/>
      <c r="J21" s="1" t="s">
        <v>26</v>
      </c>
      <c r="K21" s="24">
        <v>186</v>
      </c>
      <c r="L21" s="24">
        <f>74.8-52</f>
        <v>22.799999999999997</v>
      </c>
      <c r="M21" t="s">
        <v>2</v>
      </c>
      <c r="N21" s="1"/>
      <c r="P21" s="19"/>
      <c r="Q21" s="1" t="s">
        <v>27</v>
      </c>
      <c r="R21" s="10">
        <v>150</v>
      </c>
      <c r="S21" s="13" t="s">
        <v>70</v>
      </c>
      <c r="X21" s="20"/>
    </row>
    <row r="22" spans="1:24" x14ac:dyDescent="0.25">
      <c r="A22" s="19"/>
      <c r="B22" t="s">
        <v>62</v>
      </c>
      <c r="G22" s="20"/>
      <c r="H22" s="19"/>
      <c r="J22" s="1" t="s">
        <v>40</v>
      </c>
      <c r="K22">
        <f>-259.8-51</f>
        <v>-310.8</v>
      </c>
      <c r="L22">
        <v>522</v>
      </c>
      <c r="M22" t="s">
        <v>2</v>
      </c>
      <c r="P22" s="19"/>
      <c r="Q22" s="1" t="s">
        <v>27</v>
      </c>
      <c r="R22" s="10">
        <v>320</v>
      </c>
      <c r="S22" s="13" t="s">
        <v>66</v>
      </c>
      <c r="X22" s="20"/>
    </row>
    <row r="23" spans="1:24" x14ac:dyDescent="0.25">
      <c r="A23" s="19"/>
      <c r="B23" t="s">
        <v>63</v>
      </c>
      <c r="G23" s="20"/>
      <c r="H23" s="19"/>
      <c r="J23" s="1" t="s">
        <v>27</v>
      </c>
      <c r="K23" s="46">
        <v>200</v>
      </c>
      <c r="L23" s="2">
        <v>150</v>
      </c>
      <c r="M23" t="s">
        <v>2</v>
      </c>
      <c r="N23" s="53" t="s">
        <v>72</v>
      </c>
      <c r="O23" s="47"/>
      <c r="P23" s="19"/>
      <c r="Q23" s="1" t="s">
        <v>27</v>
      </c>
      <c r="R23" s="10"/>
      <c r="S23" t="s">
        <v>69</v>
      </c>
      <c r="X23" s="20"/>
    </row>
    <row r="24" spans="1:24" x14ac:dyDescent="0.25">
      <c r="A24" s="19"/>
      <c r="B24" s="1"/>
      <c r="C24" s="1" t="s">
        <v>37</v>
      </c>
      <c r="D24" s="38">
        <f>D15+E15</f>
        <v>992.202</v>
      </c>
      <c r="E24" t="s">
        <v>0</v>
      </c>
      <c r="G24" s="20"/>
      <c r="H24" s="19"/>
      <c r="J24" s="1" t="s">
        <v>34</v>
      </c>
      <c r="K24" s="5">
        <f>(-K23+K21)*K10*J11/10+K14</f>
        <v>109.71216533082443</v>
      </c>
      <c r="L24" s="5">
        <f>(L23-L21)*L10*J11/10+L14</f>
        <v>666.25042588245356</v>
      </c>
      <c r="M24" t="s">
        <v>0</v>
      </c>
      <c r="P24" s="19"/>
      <c r="Q24" s="1" t="s">
        <v>27</v>
      </c>
      <c r="R24" s="10">
        <v>789.5</v>
      </c>
      <c r="S24" s="52" t="s">
        <v>58</v>
      </c>
      <c r="X24" s="20"/>
    </row>
    <row r="25" spans="1:24" x14ac:dyDescent="0.25">
      <c r="A25" s="19"/>
      <c r="B25" s="6" t="s">
        <v>61</v>
      </c>
      <c r="C25" s="39"/>
      <c r="D25" s="39"/>
      <c r="E25" s="39"/>
      <c r="F25" s="39"/>
      <c r="G25" s="40"/>
      <c r="H25" s="19"/>
      <c r="J25" s="1" t="s">
        <v>35</v>
      </c>
      <c r="K25" s="38">
        <f>L24+K24</f>
        <v>775.96259121327796</v>
      </c>
      <c r="L25" t="s">
        <v>0</v>
      </c>
      <c r="M25" s="47" t="str">
        <f>IF(-K23+L23&lt;50,"warning little overlap of plates","")</f>
        <v>warning little overlap of plates</v>
      </c>
      <c r="P25" s="19"/>
      <c r="X25" s="20"/>
    </row>
    <row r="26" spans="1:24" ht="15.75" thickBot="1" x14ac:dyDescent="0.3">
      <c r="A26" s="41"/>
      <c r="B26" s="42" t="s">
        <v>60</v>
      </c>
      <c r="C26" s="42"/>
      <c r="D26" s="42"/>
      <c r="E26" s="42"/>
      <c r="F26" s="42"/>
      <c r="G26" s="43"/>
      <c r="H26" s="41"/>
      <c r="I26" s="42"/>
      <c r="J26" s="42"/>
      <c r="K26" s="42"/>
      <c r="L26" s="42"/>
      <c r="M26" s="48" t="str">
        <f>IF(K23&gt;450,"warning close to upper edge","")</f>
        <v/>
      </c>
      <c r="N26" s="42"/>
      <c r="O26" s="42"/>
      <c r="P26" s="19"/>
      <c r="Q26" t="s">
        <v>52</v>
      </c>
      <c r="X26" s="20"/>
    </row>
    <row r="27" spans="1:24" ht="15.75" thickBot="1" x14ac:dyDescent="0.3">
      <c r="P27" s="41"/>
      <c r="Q27" s="42" t="s">
        <v>64</v>
      </c>
      <c r="R27" s="42"/>
      <c r="S27" s="42"/>
      <c r="T27" s="42"/>
      <c r="U27" s="42"/>
      <c r="V27" s="42"/>
      <c r="W27" s="42"/>
      <c r="X27" s="43"/>
    </row>
    <row r="28" spans="1:24" x14ac:dyDescent="0.25">
      <c r="G28" s="5"/>
      <c r="M28" s="4"/>
    </row>
    <row r="29" spans="1:24" x14ac:dyDescent="0.25">
      <c r="K29" s="4"/>
      <c r="L29" s="4"/>
      <c r="M29" s="4"/>
    </row>
    <row r="30" spans="1:24" x14ac:dyDescent="0.25">
      <c r="I30" s="4"/>
      <c r="J30" s="5"/>
      <c r="K30" s="5"/>
      <c r="L30" s="5"/>
      <c r="M30" s="11"/>
      <c r="O30" s="1"/>
    </row>
    <row r="31" spans="1:24" x14ac:dyDescent="0.25">
      <c r="J31" s="4"/>
      <c r="K31" s="4"/>
      <c r="O31" s="1"/>
      <c r="X31" s="4"/>
    </row>
    <row r="32" spans="1:24" x14ac:dyDescent="0.25">
      <c r="H32" s="4"/>
      <c r="I32" s="1"/>
      <c r="J32" s="5"/>
      <c r="K32" s="7"/>
    </row>
    <row r="33" spans="8:20" x14ac:dyDescent="0.25">
      <c r="H33" s="4"/>
      <c r="O33" s="1"/>
    </row>
    <row r="34" spans="8:20" x14ac:dyDescent="0.25">
      <c r="M34" s="4"/>
      <c r="N34" s="4"/>
    </row>
    <row r="41" spans="8:20" x14ac:dyDescent="0.25">
      <c r="T41" s="12"/>
    </row>
    <row r="42" spans="8:20" x14ac:dyDescent="0.25">
      <c r="T42" s="12"/>
    </row>
    <row r="43" spans="8:20" x14ac:dyDescent="0.25">
      <c r="T43" s="12"/>
    </row>
    <row r="44" spans="8:20" x14ac:dyDescent="0.25">
      <c r="T44" s="12"/>
    </row>
    <row r="45" spans="8:20" x14ac:dyDescent="0.25">
      <c r="T45" s="12"/>
    </row>
    <row r="46" spans="8:20" x14ac:dyDescent="0.25">
      <c r="T46" s="12"/>
    </row>
    <row r="47" spans="8:20" x14ac:dyDescent="0.25">
      <c r="T47" s="12"/>
    </row>
  </sheetData>
  <sheetProtection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ioncatcher</vt:lpstr>
    </vt:vector>
  </TitlesOfParts>
  <Company>GSI Helmholzzentrum für Schwerionenforschung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Weick, Helmut</dc:creator>
  <cp:lastModifiedBy>Ali Mollaebrahimi</cp:lastModifiedBy>
  <dcterms:created xsi:type="dcterms:W3CDTF">2018-04-18T08:15:27Z</dcterms:created>
  <dcterms:modified xsi:type="dcterms:W3CDTF">2025-02-08T11:49:18Z</dcterms:modified>
</cp:coreProperties>
</file>