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lockStructure="1"/>
  <bookViews>
    <workbookView windowWidth="28800" windowHeight="12580"/>
  </bookViews>
  <sheets>
    <sheet name="ioncatcher" sheetId="2" r:id="rId1"/>
  </sheets>
  <calcPr calcId="144525"/>
</workbook>
</file>

<file path=xl/sharedStrings.xml><?xml version="1.0" encoding="utf-8"?>
<sst xmlns="http://schemas.openxmlformats.org/spreadsheetml/2006/main" count="120" uniqueCount="74">
  <si>
    <t>H. Weick, 15.12.2019</t>
  </si>
  <si>
    <t>Update: TD 17.05.2022</t>
  </si>
  <si>
    <t xml:space="preserve"> = fixed measured parameters</t>
  </si>
  <si>
    <t>Ion catcher degrader calculator</t>
  </si>
  <si>
    <t xml:space="preserve"> = input</t>
  </si>
  <si>
    <t>data measured in GSI target lab (Birgit Kindler), fitted by Helmut Weick</t>
  </si>
  <si>
    <t xml:space="preserve"> = output</t>
  </si>
  <si>
    <t>drives as mounted on 27.11.2019</t>
  </si>
  <si>
    <t xml:space="preserve">Degrader ladders </t>
  </si>
  <si>
    <t>Wedge disk degraders</t>
  </si>
  <si>
    <t>Wedge plate degraders</t>
  </si>
  <si>
    <t>Ta plates and Al wedges</t>
  </si>
  <si>
    <t>material AlMg3</t>
  </si>
  <si>
    <t>rho =</t>
  </si>
  <si>
    <t>g/cm^3</t>
  </si>
  <si>
    <t>full width: dy=500mm, dx=290mm</t>
  </si>
  <si>
    <t>(Bad !!)</t>
  </si>
  <si>
    <t>material AlMg3 (3%Mg)</t>
  </si>
  <si>
    <t>drives as mounted on 30.01.2025</t>
  </si>
  <si>
    <t>Design</t>
  </si>
  <si>
    <t>ESS</t>
  </si>
  <si>
    <t>Kugler-2</t>
  </si>
  <si>
    <t>Kugler-1</t>
  </si>
  <si>
    <t>HFSEM1GL</t>
  </si>
  <si>
    <t>min =</t>
  </si>
  <si>
    <t>mm</t>
  </si>
  <si>
    <t>center meas.=</t>
  </si>
  <si>
    <t>mm at Y=240mm</t>
  </si>
  <si>
    <t>order in beam:</t>
  </si>
  <si>
    <t>first</t>
  </si>
  <si>
    <t>max =</t>
  </si>
  <si>
    <t>slope =</t>
  </si>
  <si>
    <t>moving direction:</t>
  </si>
  <si>
    <t>from below</t>
  </si>
  <si>
    <t>dist =</t>
  </si>
  <si>
    <t>mg/cm^3</t>
  </si>
  <si>
    <t>pos =</t>
  </si>
  <si>
    <t>end1</t>
  </si>
  <si>
    <t>center rho*d =</t>
  </si>
  <si>
    <t>mg/cm^2</t>
  </si>
  <si>
    <t>Empty</t>
  </si>
  <si>
    <t>center =</t>
  </si>
  <si>
    <t>8mm Al Plate</t>
  </si>
  <si>
    <t>end2</t>
  </si>
  <si>
    <t>drives as mounted on 31/01/2025</t>
  </si>
  <si>
    <t>HFSEM1GR</t>
  </si>
  <si>
    <t>drive  location:</t>
  </si>
  <si>
    <t>upper</t>
  </si>
  <si>
    <t>lower</t>
  </si>
  <si>
    <t>second</t>
  </si>
  <si>
    <t>disks HFSED4_P , calculate degrader positions</t>
  </si>
  <si>
    <t>drive name:</t>
  </si>
  <si>
    <t>HFSED4</t>
  </si>
  <si>
    <t>HFSED5</t>
  </si>
  <si>
    <t>from top</t>
  </si>
  <si>
    <t>[~mrad]</t>
  </si>
  <si>
    <t>cos(phi)</t>
  </si>
  <si>
    <t>phi [°]</t>
  </si>
  <si>
    <t>out position =</t>
  </si>
  <si>
    <t>thin edge on beam height =</t>
  </si>
  <si>
    <t>18 mrad Al wedge (Keil-2, 2018)</t>
  </si>
  <si>
    <t>(use same sign for the two discs)</t>
  </si>
  <si>
    <t>thick edge on beam height =</t>
  </si>
  <si>
    <t>3.2 mm Ta plate</t>
  </si>
  <si>
    <t xml:space="preserve"> phi&gt;0° means thicker on crane (=Messel) side…</t>
  </si>
  <si>
    <t>D5 min is 74.8mm</t>
  </si>
  <si>
    <t>N.A.</t>
  </si>
  <si>
    <t>mean thickness =</t>
  </si>
  <si>
    <t>rho *x =</t>
  </si>
  <si>
    <t>attention: definition of slope (mrad) is opposite to LISE++ !</t>
  </si>
  <si>
    <t>sum rho*x =</t>
  </si>
  <si>
    <t>Pressure drive in/out = TS3ED7DP.</t>
  </si>
  <si>
    <t>Thick edge of wedges on crane (=Messel) side.</t>
  </si>
  <si>
    <t>For full available vertical aperture on HFSEM1GL &amp; R choose the empty target position</t>
  </si>
</sst>
</file>

<file path=xl/styles.xml><?xml version="1.0" encoding="utf-8"?>
<styleSheet xmlns="http://schemas.openxmlformats.org/spreadsheetml/2006/main">
  <numFmts count="9">
    <numFmt numFmtId="176" formatCode="0.0"/>
    <numFmt numFmtId="177" formatCode="0.0000"/>
    <numFmt numFmtId="178" formatCode="0.00000"/>
    <numFmt numFmtId="179" formatCode="0.000000"/>
    <numFmt numFmtId="180" formatCode="0.000"/>
    <numFmt numFmtId="42" formatCode="_(&quot;$&quot;* #,##0_);_(&quot;$&quot;* \(#,##0\);_(&quot;$&quot;* &quot;-&quot;_);_(@_)"/>
    <numFmt numFmtId="181" formatCode="_ * #,##0_ ;_ * \-#,##0_ ;_ * &quot;-&quot;_ ;_ @_ "/>
    <numFmt numFmtId="182" formatCode="_ * #,##0.00_ ;_ * \-#,##0.00_ ;_ * &quot;-&quot;??_ ;_ @_ "/>
    <numFmt numFmtId="44" formatCode="_(&quot;$&quot;* #,##0.00_);_(&quot;$&quot;* \(#,##0.00\);_(&quot;$&quot;* &quot;-&quot;??_);_(@_)"/>
  </numFmts>
  <fonts count="25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0" tint="-0.349986266670736"/>
      <name val="Calibri"/>
      <charset val="134"/>
      <scheme val="minor"/>
    </font>
    <font>
      <sz val="11"/>
      <color theme="0" tint="-0.349986266670736"/>
      <name val="Calibri"/>
      <charset val="134"/>
      <scheme val="minor"/>
    </font>
    <font>
      <sz val="11"/>
      <color rgb="FFFF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7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7" fillId="1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23" borderId="20" applyNumberFormat="0" applyFont="0" applyAlignment="0" applyProtection="0">
      <alignment vertical="center"/>
    </xf>
    <xf numFmtId="0" fontId="16" fillId="16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1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3" fillId="12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5" xfId="0" applyBorder="1"/>
    <xf numFmtId="0" fontId="0" fillId="0" borderId="0" xfId="0" applyAlignment="1">
      <alignment horizontal="right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180" fontId="0" fillId="3" borderId="0" xfId="0" applyNumberFormat="1" applyFill="1"/>
    <xf numFmtId="0" fontId="0" fillId="3" borderId="0" xfId="0" applyFill="1"/>
    <xf numFmtId="179" fontId="0" fillId="0" borderId="0" xfId="0" applyNumberFormat="1"/>
    <xf numFmtId="178" fontId="0" fillId="4" borderId="0" xfId="0" applyNumberFormat="1" applyFill="1"/>
    <xf numFmtId="177" fontId="0" fillId="3" borderId="0" xfId="0" applyNumberFormat="1" applyFill="1"/>
    <xf numFmtId="0" fontId="2" fillId="4" borderId="0" xfId="0" applyFont="1" applyFill="1"/>
    <xf numFmtId="0" fontId="0" fillId="4" borderId="0" xfId="0" applyFill="1"/>
    <xf numFmtId="2" fontId="0" fillId="0" borderId="0" xfId="0" applyNumberFormat="1"/>
    <xf numFmtId="176" fontId="0" fillId="4" borderId="0" xfId="0" applyNumberFormat="1" applyFill="1"/>
    <xf numFmtId="2" fontId="0" fillId="4" borderId="0" xfId="0" applyNumberFormat="1" applyFill="1"/>
    <xf numFmtId="0" fontId="0" fillId="0" borderId="0" xfId="0" applyAlignment="1">
      <alignment horizontal="left"/>
    </xf>
    <xf numFmtId="17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6" fontId="0" fillId="5" borderId="0" xfId="0" applyNumberFormat="1" applyFill="1" applyProtection="1">
      <protection locked="0"/>
    </xf>
    <xf numFmtId="178" fontId="0" fillId="0" borderId="0" xfId="0" applyNumberFormat="1"/>
    <xf numFmtId="176" fontId="0" fillId="6" borderId="0" xfId="0" applyNumberFormat="1" applyFill="1"/>
    <xf numFmtId="0" fontId="0" fillId="2" borderId="0" xfId="0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4" fillId="0" borderId="0" xfId="0" applyFont="1"/>
    <xf numFmtId="178" fontId="4" fillId="4" borderId="0" xfId="0" applyNumberFormat="1" applyFont="1" applyFill="1"/>
    <xf numFmtId="177" fontId="0" fillId="4" borderId="0" xfId="0" applyNumberFormat="1" applyFill="1"/>
    <xf numFmtId="177" fontId="4" fillId="4" borderId="0" xfId="0" applyNumberFormat="1" applyFont="1" applyFill="1"/>
    <xf numFmtId="2" fontId="0" fillId="6" borderId="0" xfId="0" applyNumberFormat="1" applyFill="1"/>
    <xf numFmtId="0" fontId="0" fillId="2" borderId="10" xfId="0" applyFill="1" applyBorder="1"/>
    <xf numFmtId="0" fontId="0" fillId="0" borderId="11" xfId="0" applyBorder="1"/>
    <xf numFmtId="176" fontId="0" fillId="0" borderId="0" xfId="0" applyNumberFormat="1"/>
    <xf numFmtId="0" fontId="0" fillId="5" borderId="0" xfId="0" applyFill="1"/>
    <xf numFmtId="0" fontId="0" fillId="6" borderId="0" xfId="0" applyFill="1"/>
    <xf numFmtId="0" fontId="0" fillId="0" borderId="12" xfId="0" applyBorder="1"/>
    <xf numFmtId="178" fontId="0" fillId="3" borderId="0" xfId="0" applyNumberFormat="1" applyFill="1"/>
    <xf numFmtId="0" fontId="1" fillId="0" borderId="0" xfId="0" applyFont="1" applyAlignment="1">
      <alignment horizontal="center"/>
    </xf>
    <xf numFmtId="0" fontId="2" fillId="3" borderId="0" xfId="0" applyFont="1" applyFill="1"/>
    <xf numFmtId="0" fontId="0" fillId="5" borderId="0" xfId="0" applyFill="1" applyProtection="1">
      <protection locked="0"/>
    </xf>
    <xf numFmtId="0" fontId="2" fillId="0" borderId="0" xfId="0" applyFont="1"/>
    <xf numFmtId="0" fontId="5" fillId="0" borderId="0" xfId="0" applyFont="1"/>
    <xf numFmtId="0" fontId="5" fillId="0" borderId="8" xfId="0" applyFont="1" applyBorder="1"/>
    <xf numFmtId="0" fontId="1" fillId="0" borderId="0" xfId="0" applyFont="1" applyAlignment="1">
      <alignment horizontal="left"/>
    </xf>
    <xf numFmtId="177" fontId="0" fillId="0" borderId="0" xfId="0" applyNumberFormat="1"/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24</xdr:col>
      <xdr:colOff>152400</xdr:colOff>
      <xdr:row>2</xdr:row>
      <xdr:rowOff>47625</xdr:rowOff>
    </xdr:from>
    <xdr:to>
      <xdr:col>31</xdr:col>
      <xdr:colOff>22342</xdr:colOff>
      <xdr:row>31</xdr:row>
      <xdr:rowOff>109789</xdr:rowOff>
    </xdr:to>
    <xdr:pic>
      <xdr:nvPicPr>
        <xdr:cNvPr id="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15355" y="403225"/>
          <a:ext cx="5070475" cy="5265420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27</xdr:row>
      <xdr:rowOff>190499</xdr:rowOff>
    </xdr:from>
    <xdr:to>
      <xdr:col>5</xdr:col>
      <xdr:colOff>210504</xdr:colOff>
      <xdr:row>35</xdr:row>
      <xdr:rowOff>129539</xdr:rowOff>
    </xdr:to>
    <xdr:pic>
      <xdr:nvPicPr>
        <xdr:cNvPr id="2" name="Picture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9175" y="5026025"/>
          <a:ext cx="3114675" cy="1373505"/>
        </a:xfrm>
        <a:prstGeom prst="rect">
          <a:avLst/>
        </a:prstGeom>
      </xdr:spPr>
    </xdr:pic>
    <xdr:clientData/>
  </xdr:twoCellAnchor>
  <xdr:twoCellAnchor editAs="oneCell">
    <xdr:from>
      <xdr:col>6</xdr:col>
      <xdr:colOff>190773</xdr:colOff>
      <xdr:row>28</xdr:row>
      <xdr:rowOff>159476</xdr:rowOff>
    </xdr:from>
    <xdr:to>
      <xdr:col>23</xdr:col>
      <xdr:colOff>324488</xdr:colOff>
      <xdr:row>60</xdr:row>
      <xdr:rowOff>58239</xdr:rowOff>
    </xdr:to>
    <xdr:pic>
      <xdr:nvPicPr>
        <xdr:cNvPr id="5" name="Picture 4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15" y="5185410"/>
          <a:ext cx="13287375" cy="558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7"/>
  <sheetViews>
    <sheetView tabSelected="1" zoomScale="122" zoomScaleNormal="122" topLeftCell="M1" workbookViewId="0">
      <selection activeCell="S13" sqref="S13"/>
    </sheetView>
  </sheetViews>
  <sheetFormatPr defaultColWidth="9.140625" defaultRowHeight="14"/>
  <cols>
    <col min="3" max="4" width="10.140625" customWidth="1"/>
    <col min="5" max="5" width="9.7109375" customWidth="1"/>
    <col min="18" max="18" width="10.859375" customWidth="1"/>
    <col min="19" max="19" width="10.140625" customWidth="1"/>
    <col min="20" max="20" width="11.140625" customWidth="1"/>
    <col min="23" max="23" width="10.859375" customWidth="1"/>
  </cols>
  <sheetData>
    <row r="1" spans="2:11">
      <c r="B1" t="s">
        <v>0</v>
      </c>
      <c r="D1" t="s">
        <v>1</v>
      </c>
      <c r="J1" s="17"/>
      <c r="K1" t="s">
        <v>2</v>
      </c>
    </row>
    <row r="2" spans="2:11">
      <c r="B2" s="1" t="s">
        <v>3</v>
      </c>
      <c r="C2" s="1"/>
      <c r="D2" s="1"/>
      <c r="E2" s="2"/>
      <c r="J2" s="42"/>
      <c r="K2" t="s">
        <v>4</v>
      </c>
    </row>
    <row r="3" ht="14.75" spans="2:17">
      <c r="B3" t="s">
        <v>5</v>
      </c>
      <c r="C3" s="2"/>
      <c r="D3" s="2"/>
      <c r="E3" s="2"/>
      <c r="J3" s="43"/>
      <c r="K3" t="s">
        <v>6</v>
      </c>
      <c r="Q3" s="21" t="s">
        <v>7</v>
      </c>
    </row>
    <row r="4" ht="14.75" spans="1:24">
      <c r="A4" s="3"/>
      <c r="B4" s="4"/>
      <c r="C4" s="4"/>
      <c r="D4" s="4"/>
      <c r="E4" s="4"/>
      <c r="F4" s="4"/>
      <c r="G4" s="30"/>
      <c r="H4" s="3"/>
      <c r="I4" s="4"/>
      <c r="J4" s="4"/>
      <c r="K4" s="4"/>
      <c r="L4" s="4"/>
      <c r="M4" s="4"/>
      <c r="N4" s="4"/>
      <c r="O4" s="4"/>
      <c r="P4" s="3"/>
      <c r="Q4" s="6" t="s">
        <v>8</v>
      </c>
      <c r="R4" s="7"/>
      <c r="S4" s="4"/>
      <c r="T4" s="4"/>
      <c r="U4" s="4"/>
      <c r="V4" s="4"/>
      <c r="W4" s="4"/>
      <c r="X4" s="30"/>
    </row>
    <row r="5" ht="14.75" spans="1:24">
      <c r="A5" s="5"/>
      <c r="B5" s="6" t="s">
        <v>9</v>
      </c>
      <c r="C5" s="7"/>
      <c r="G5" s="31"/>
      <c r="H5" s="5"/>
      <c r="I5" s="6" t="s">
        <v>10</v>
      </c>
      <c r="J5" s="44"/>
      <c r="K5" s="7"/>
      <c r="P5" s="5"/>
      <c r="Q5" t="s">
        <v>11</v>
      </c>
      <c r="X5" s="31"/>
    </row>
    <row r="6" spans="1:24">
      <c r="A6" s="5"/>
      <c r="B6" t="s">
        <v>12</v>
      </c>
      <c r="D6" s="8" t="s">
        <v>13</v>
      </c>
      <c r="E6" s="17">
        <v>2.67</v>
      </c>
      <c r="F6" t="s">
        <v>14</v>
      </c>
      <c r="G6" s="31"/>
      <c r="H6" s="5"/>
      <c r="I6" t="s">
        <v>15</v>
      </c>
      <c r="P6" s="5"/>
      <c r="X6" s="31"/>
    </row>
    <row r="7" spans="1:24">
      <c r="A7" s="5"/>
      <c r="B7" s="2"/>
      <c r="F7" s="32" t="s">
        <v>16</v>
      </c>
      <c r="G7" s="31"/>
      <c r="H7" s="5"/>
      <c r="I7" t="s">
        <v>17</v>
      </c>
      <c r="P7" s="5"/>
      <c r="Q7" s="21" t="s">
        <v>18</v>
      </c>
      <c r="X7" s="31"/>
    </row>
    <row r="8" spans="1:24">
      <c r="A8" s="5"/>
      <c r="B8" s="9"/>
      <c r="C8" s="10" t="s">
        <v>19</v>
      </c>
      <c r="D8" s="10" t="s">
        <v>20</v>
      </c>
      <c r="E8" s="10" t="s">
        <v>21</v>
      </c>
      <c r="F8" s="33" t="s">
        <v>22</v>
      </c>
      <c r="G8" s="31"/>
      <c r="H8" s="5"/>
      <c r="J8" s="10" t="s">
        <v>19</v>
      </c>
      <c r="K8" s="10" t="s">
        <v>22</v>
      </c>
      <c r="L8" s="10" t="s">
        <v>21</v>
      </c>
      <c r="P8" s="5"/>
      <c r="Q8" s="21"/>
      <c r="R8" s="2" t="s">
        <v>23</v>
      </c>
      <c r="S8" s="50"/>
      <c r="X8" s="31"/>
    </row>
    <row r="9" spans="1:24">
      <c r="A9" s="5"/>
      <c r="B9" s="8" t="s">
        <v>24</v>
      </c>
      <c r="C9" s="11">
        <v>0.5</v>
      </c>
      <c r="F9" s="34"/>
      <c r="G9" s="31" t="s">
        <v>25</v>
      </c>
      <c r="H9" s="5"/>
      <c r="I9" s="8" t="s">
        <v>26</v>
      </c>
      <c r="J9" s="11">
        <f>(8+0.5)/2</f>
        <v>4.25</v>
      </c>
      <c r="K9" s="36">
        <v>4.35948188018997</v>
      </c>
      <c r="L9" s="36">
        <v>4.33613024559158</v>
      </c>
      <c r="M9" t="s">
        <v>27</v>
      </c>
      <c r="P9" s="5"/>
      <c r="Q9" s="8" t="s">
        <v>28</v>
      </c>
      <c r="R9" s="8" t="s">
        <v>29</v>
      </c>
      <c r="X9" s="31"/>
    </row>
    <row r="10" spans="1:24">
      <c r="A10" s="5"/>
      <c r="B10" s="8" t="s">
        <v>30</v>
      </c>
      <c r="C10" s="12">
        <v>3.217</v>
      </c>
      <c r="F10" s="34"/>
      <c r="G10" s="31" t="s">
        <v>25</v>
      </c>
      <c r="H10" s="5"/>
      <c r="I10" s="8" t="s">
        <v>31</v>
      </c>
      <c r="J10" s="45">
        <f>(8-0.5)/500</f>
        <v>0.015</v>
      </c>
      <c r="K10" s="14">
        <v>0.0149567230830765</v>
      </c>
      <c r="L10" s="14">
        <v>0.0149903118767613</v>
      </c>
      <c r="P10" s="5"/>
      <c r="Q10" s="8" t="s">
        <v>32</v>
      </c>
      <c r="R10" s="21" t="s">
        <v>33</v>
      </c>
      <c r="X10" s="31"/>
    </row>
    <row r="11" spans="1:24">
      <c r="A11" s="5"/>
      <c r="B11" s="8" t="s">
        <v>34</v>
      </c>
      <c r="C11" s="12">
        <f>310/2+140</f>
        <v>295</v>
      </c>
      <c r="F11" s="34"/>
      <c r="G11" s="31" t="s">
        <v>25</v>
      </c>
      <c r="H11" s="5"/>
      <c r="I11" s="8" t="s">
        <v>13</v>
      </c>
      <c r="J11" s="17">
        <v>2670</v>
      </c>
      <c r="K11" t="s">
        <v>35</v>
      </c>
      <c r="M11" s="23"/>
      <c r="P11" s="5"/>
      <c r="Q11" s="8" t="s">
        <v>36</v>
      </c>
      <c r="R11" s="17">
        <v>-31.9</v>
      </c>
      <c r="S11" s="52" t="s">
        <v>37</v>
      </c>
      <c r="X11" s="31"/>
    </row>
    <row r="12" spans="1:24">
      <c r="A12" s="5"/>
      <c r="B12" s="8" t="s">
        <v>31</v>
      </c>
      <c r="C12" s="13">
        <f>(C10-C9)/C11</f>
        <v>0.00921016949152542</v>
      </c>
      <c r="D12" s="14">
        <v>0.009242</v>
      </c>
      <c r="E12" s="17">
        <v>0.00922</v>
      </c>
      <c r="F12" s="35">
        <v>0.009183</v>
      </c>
      <c r="G12" s="31"/>
      <c r="H12" s="5"/>
      <c r="I12" s="8" t="s">
        <v>38</v>
      </c>
      <c r="J12" s="18">
        <f>$J$11*J9/10</f>
        <v>1134.75</v>
      </c>
      <c r="K12" s="41">
        <f>$J$11*K9/10</f>
        <v>1163.98166201072</v>
      </c>
      <c r="L12" s="41">
        <f>$J$11*L9/10</f>
        <v>1157.74677557295</v>
      </c>
      <c r="M12" t="s">
        <v>39</v>
      </c>
      <c r="P12" s="5"/>
      <c r="Q12" s="8" t="s">
        <v>36</v>
      </c>
      <c r="R12" s="17">
        <v>-240</v>
      </c>
      <c r="S12" s="21" t="s">
        <v>40</v>
      </c>
      <c r="X12" s="31"/>
    </row>
    <row r="13" spans="1:24">
      <c r="A13" s="5"/>
      <c r="B13" s="8" t="s">
        <v>41</v>
      </c>
      <c r="C13" s="15">
        <f>C9+140*C12</f>
        <v>1.78942372881356</v>
      </c>
      <c r="D13" s="16">
        <v>1.806</v>
      </c>
      <c r="E13" s="36">
        <f>510/267</f>
        <v>1.91011235955056</v>
      </c>
      <c r="F13" s="37">
        <f>529.9/267</f>
        <v>1.98464419475655</v>
      </c>
      <c r="G13" s="31" t="s">
        <v>25</v>
      </c>
      <c r="H13" s="5"/>
      <c r="I13" s="8" t="s">
        <v>31</v>
      </c>
      <c r="J13" s="18">
        <f>J10*$J$11</f>
        <v>40.05</v>
      </c>
      <c r="K13" s="18">
        <f>K10*$C$14</f>
        <v>39.9344506318143</v>
      </c>
      <c r="L13" s="18">
        <f>L10*$C$14</f>
        <v>40.0241327109527</v>
      </c>
      <c r="M13" t="s">
        <v>35</v>
      </c>
      <c r="P13" s="5"/>
      <c r="Q13" s="8" t="s">
        <v>36</v>
      </c>
      <c r="R13" s="17">
        <v>-445</v>
      </c>
      <c r="S13" s="21" t="s">
        <v>42</v>
      </c>
      <c r="X13" s="31"/>
    </row>
    <row r="14" spans="1:24">
      <c r="A14" s="5"/>
      <c r="B14" s="8" t="s">
        <v>13</v>
      </c>
      <c r="C14" s="17">
        <v>2670</v>
      </c>
      <c r="F14" s="34"/>
      <c r="G14" s="31" t="s">
        <v>35</v>
      </c>
      <c r="H14" s="5"/>
      <c r="I14" s="8" t="s">
        <v>24</v>
      </c>
      <c r="J14" s="41">
        <f>J12-25*J13</f>
        <v>133.5</v>
      </c>
      <c r="K14" s="41">
        <f>K12-25*K13</f>
        <v>165.620396215364</v>
      </c>
      <c r="L14" s="41">
        <f t="shared" ref="L14" si="0">L12-25*L13</f>
        <v>157.143457799136</v>
      </c>
      <c r="M14" t="s">
        <v>39</v>
      </c>
      <c r="P14" s="5"/>
      <c r="Q14" s="8" t="s">
        <v>36</v>
      </c>
      <c r="R14" s="17">
        <v>-620</v>
      </c>
      <c r="S14" s="21" t="s">
        <v>40</v>
      </c>
      <c r="X14" s="31"/>
    </row>
    <row r="15" spans="1:24">
      <c r="A15" s="5"/>
      <c r="B15" s="8" t="s">
        <v>38</v>
      </c>
      <c r="C15" s="18">
        <f>$C$14*C13/10</f>
        <v>477.77613559322</v>
      </c>
      <c r="D15" s="19">
        <f>$C$14*D13/10</f>
        <v>482.202</v>
      </c>
      <c r="E15" s="19">
        <f>$C$14*E13/10</f>
        <v>510</v>
      </c>
      <c r="F15" s="34">
        <f>$C$14*F13/10</f>
        <v>529.9</v>
      </c>
      <c r="G15" s="31" t="s">
        <v>39</v>
      </c>
      <c r="H15" s="5"/>
      <c r="I15" s="8" t="s">
        <v>30</v>
      </c>
      <c r="J15" s="41">
        <f>J12+25*J13</f>
        <v>2136</v>
      </c>
      <c r="K15" s="41">
        <f t="shared" ref="K15:L15" si="1">K12+25*K13</f>
        <v>2162.34292780608</v>
      </c>
      <c r="L15" s="41">
        <f t="shared" si="1"/>
        <v>2158.35009334677</v>
      </c>
      <c r="M15" t="s">
        <v>39</v>
      </c>
      <c r="P15" s="5"/>
      <c r="Q15" s="8" t="s">
        <v>36</v>
      </c>
      <c r="R15" s="17">
        <v>-800</v>
      </c>
      <c r="S15" s="52" t="s">
        <v>43</v>
      </c>
      <c r="X15" s="31"/>
    </row>
    <row r="16" spans="1:24">
      <c r="A16" s="5"/>
      <c r="B16" s="8" t="s">
        <v>31</v>
      </c>
      <c r="C16" s="18">
        <f>C12*$C$14</f>
        <v>24.5911525423729</v>
      </c>
      <c r="D16" s="20">
        <f>D12*$C$14</f>
        <v>24.67614</v>
      </c>
      <c r="E16" s="20">
        <f>E12*$C$14</f>
        <v>24.6174</v>
      </c>
      <c r="F16" s="34">
        <f>$C$14*F14/10</f>
        <v>0</v>
      </c>
      <c r="G16" s="31" t="s">
        <v>35</v>
      </c>
      <c r="H16" s="5"/>
      <c r="P16" s="5"/>
      <c r="X16" s="31"/>
    </row>
    <row r="17" spans="1:24">
      <c r="A17" s="5"/>
      <c r="G17" s="31"/>
      <c r="H17" s="5"/>
      <c r="I17" s="21" t="s">
        <v>44</v>
      </c>
      <c r="P17" s="5"/>
      <c r="R17" s="46" t="s">
        <v>45</v>
      </c>
      <c r="U17" s="8"/>
      <c r="X17" s="31"/>
    </row>
    <row r="18" spans="1:24">
      <c r="A18" s="5"/>
      <c r="B18" s="21" t="s">
        <v>7</v>
      </c>
      <c r="G18" s="31"/>
      <c r="H18" s="5"/>
      <c r="I18" s="8" t="s">
        <v>46</v>
      </c>
      <c r="J18" s="8" t="s">
        <v>46</v>
      </c>
      <c r="K18" s="23" t="s">
        <v>47</v>
      </c>
      <c r="L18" s="23" t="s">
        <v>48</v>
      </c>
      <c r="N18" s="8"/>
      <c r="P18" s="5"/>
      <c r="Q18" s="8" t="s">
        <v>28</v>
      </c>
      <c r="R18" s="8" t="s">
        <v>49</v>
      </c>
      <c r="X18" s="31"/>
    </row>
    <row r="19" spans="1:24">
      <c r="A19" s="5"/>
      <c r="B19" s="2" t="s">
        <v>50</v>
      </c>
      <c r="G19" s="31"/>
      <c r="H19" s="5"/>
      <c r="I19" s="8" t="s">
        <v>51</v>
      </c>
      <c r="J19" s="8" t="s">
        <v>51</v>
      </c>
      <c r="K19" s="46" t="s">
        <v>52</v>
      </c>
      <c r="L19" s="46" t="s">
        <v>53</v>
      </c>
      <c r="N19" s="8"/>
      <c r="P19" s="5"/>
      <c r="Q19" s="8" t="s">
        <v>32</v>
      </c>
      <c r="R19" s="8" t="s">
        <v>54</v>
      </c>
      <c r="X19" s="31"/>
    </row>
    <row r="20" spans="1:24">
      <c r="A20" s="5"/>
      <c r="C20" s="22" t="s">
        <v>55</v>
      </c>
      <c r="D20" s="23" t="s">
        <v>56</v>
      </c>
      <c r="E20" s="23" t="s">
        <v>57</v>
      </c>
      <c r="G20" s="31"/>
      <c r="H20" s="5"/>
      <c r="I20" s="8"/>
      <c r="J20" s="8" t="s">
        <v>58</v>
      </c>
      <c r="K20" s="47">
        <v>263.6</v>
      </c>
      <c r="L20" s="47">
        <v>611</v>
      </c>
      <c r="M20" t="s">
        <v>25</v>
      </c>
      <c r="N20" s="8"/>
      <c r="P20" s="5"/>
      <c r="Q20" s="8" t="s">
        <v>36</v>
      </c>
      <c r="R20" s="17">
        <v>6.9</v>
      </c>
      <c r="S20" s="52" t="s">
        <v>37</v>
      </c>
      <c r="X20" s="31"/>
    </row>
    <row r="21" spans="1:24">
      <c r="A21" s="5"/>
      <c r="B21" s="23" t="s">
        <v>31</v>
      </c>
      <c r="C21" s="24">
        <v>5</v>
      </c>
      <c r="D21" s="25">
        <f>C21/1000/(D12+E12)</f>
        <v>0.270826562669267</v>
      </c>
      <c r="E21" s="38">
        <f>ACOS(D21)*180/PI()-90</f>
        <v>-15.7134580566188</v>
      </c>
      <c r="G21" s="31"/>
      <c r="H21" s="5"/>
      <c r="J21" s="8" t="s">
        <v>59</v>
      </c>
      <c r="K21" s="12">
        <v>186</v>
      </c>
      <c r="L21" s="12">
        <f>74.8-52</f>
        <v>22.8</v>
      </c>
      <c r="M21" t="s">
        <v>25</v>
      </c>
      <c r="N21" s="8"/>
      <c r="P21" s="5"/>
      <c r="Q21" s="8" t="s">
        <v>36</v>
      </c>
      <c r="R21" s="17">
        <v>150</v>
      </c>
      <c r="S21" s="21" t="s">
        <v>60</v>
      </c>
      <c r="X21" s="31"/>
    </row>
    <row r="22" spans="1:24">
      <c r="A22" s="5"/>
      <c r="B22" t="s">
        <v>61</v>
      </c>
      <c r="G22" s="31"/>
      <c r="H22" s="5"/>
      <c r="J22" s="8" t="s">
        <v>62</v>
      </c>
      <c r="K22">
        <f>-259.8-51</f>
        <v>-310.8</v>
      </c>
      <c r="L22">
        <v>522</v>
      </c>
      <c r="M22" t="s">
        <v>25</v>
      </c>
      <c r="P22" s="5"/>
      <c r="Q22" s="8" t="s">
        <v>36</v>
      </c>
      <c r="R22" s="17">
        <v>320</v>
      </c>
      <c r="S22" s="21" t="s">
        <v>63</v>
      </c>
      <c r="X22" s="31"/>
    </row>
    <row r="23" spans="1:24">
      <c r="A23" s="5"/>
      <c r="B23" t="s">
        <v>64</v>
      </c>
      <c r="G23" s="31"/>
      <c r="H23" s="5"/>
      <c r="J23" s="8" t="s">
        <v>36</v>
      </c>
      <c r="K23" s="48">
        <v>200</v>
      </c>
      <c r="L23" s="42">
        <v>150</v>
      </c>
      <c r="M23" t="s">
        <v>25</v>
      </c>
      <c r="N23" s="49" t="s">
        <v>65</v>
      </c>
      <c r="O23" s="50"/>
      <c r="P23" s="5"/>
      <c r="Q23" s="8" t="s">
        <v>36</v>
      </c>
      <c r="R23" s="17"/>
      <c r="S23" t="s">
        <v>66</v>
      </c>
      <c r="X23" s="31"/>
    </row>
    <row r="24" spans="1:24">
      <c r="A24" s="5"/>
      <c r="B24" s="8"/>
      <c r="C24" s="8" t="s">
        <v>67</v>
      </c>
      <c r="D24" s="26">
        <f>D15+E15</f>
        <v>992.202</v>
      </c>
      <c r="E24" t="s">
        <v>39</v>
      </c>
      <c r="G24" s="31"/>
      <c r="H24" s="5"/>
      <c r="J24" s="8" t="s">
        <v>68</v>
      </c>
      <c r="K24" s="41">
        <f>(-K23+K21)*K10*J11/10+K14</f>
        <v>109.712165330824</v>
      </c>
      <c r="L24" s="41">
        <f>(L23-L21)*L10*J11/10+L14</f>
        <v>666.250425882454</v>
      </c>
      <c r="M24" t="s">
        <v>39</v>
      </c>
      <c r="P24" s="5"/>
      <c r="Q24" s="8" t="s">
        <v>36</v>
      </c>
      <c r="R24" s="17">
        <v>789.5</v>
      </c>
      <c r="S24" s="52" t="s">
        <v>43</v>
      </c>
      <c r="X24" s="31"/>
    </row>
    <row r="25" spans="1:24">
      <c r="A25" s="5"/>
      <c r="B25" s="1" t="s">
        <v>69</v>
      </c>
      <c r="C25" s="27"/>
      <c r="D25" s="27"/>
      <c r="E25" s="27"/>
      <c r="F25" s="27"/>
      <c r="G25" s="39"/>
      <c r="H25" s="5"/>
      <c r="J25" s="8" t="s">
        <v>70</v>
      </c>
      <c r="K25" s="26">
        <f>L24+K24</f>
        <v>775.962591213278</v>
      </c>
      <c r="L25" t="s">
        <v>39</v>
      </c>
      <c r="M25" s="50" t="str">
        <f>IF(-K23+L23&lt;50,"warning little overlap of plates","")</f>
        <v>warning little overlap of plates</v>
      </c>
      <c r="P25" s="5"/>
      <c r="X25" s="31"/>
    </row>
    <row r="26" ht="14.75" spans="1:24">
      <c r="A26" s="28"/>
      <c r="B26" s="29" t="s">
        <v>71</v>
      </c>
      <c r="C26" s="29"/>
      <c r="D26" s="29"/>
      <c r="E26" s="29"/>
      <c r="F26" s="29"/>
      <c r="G26" s="40"/>
      <c r="H26" s="28"/>
      <c r="I26" s="29"/>
      <c r="J26" s="29"/>
      <c r="K26" s="29"/>
      <c r="L26" s="29"/>
      <c r="M26" s="51" t="str">
        <f>IF(K23&gt;450,"warning close to upper edge","")</f>
        <v/>
      </c>
      <c r="N26" s="29"/>
      <c r="O26" s="29"/>
      <c r="P26" s="5"/>
      <c r="Q26" t="s">
        <v>72</v>
      </c>
      <c r="X26" s="31"/>
    </row>
    <row r="27" ht="14.75" spans="16:24">
      <c r="P27" s="28"/>
      <c r="Q27" s="29" t="s">
        <v>73</v>
      </c>
      <c r="R27" s="29"/>
      <c r="S27" s="29"/>
      <c r="T27" s="29"/>
      <c r="U27" s="29"/>
      <c r="V27" s="29"/>
      <c r="W27" s="29"/>
      <c r="X27" s="40"/>
    </row>
    <row r="28" spans="7:13">
      <c r="G28" s="41"/>
      <c r="M28" s="23"/>
    </row>
    <row r="29" spans="11:13">
      <c r="K29" s="23"/>
      <c r="L29" s="23"/>
      <c r="M29" s="23"/>
    </row>
    <row r="30" spans="9:15">
      <c r="I30" s="23"/>
      <c r="J30" s="41"/>
      <c r="K30" s="41"/>
      <c r="L30" s="41"/>
      <c r="M30" s="18"/>
      <c r="O30" s="8"/>
    </row>
    <row r="31" spans="10:24">
      <c r="J31" s="23"/>
      <c r="K31" s="23"/>
      <c r="O31" s="8"/>
      <c r="X31" s="23"/>
    </row>
    <row r="32" spans="8:11">
      <c r="H32" s="23"/>
      <c r="I32" s="8"/>
      <c r="J32" s="41"/>
      <c r="K32" s="46"/>
    </row>
    <row r="33" spans="8:15">
      <c r="H33" s="23"/>
      <c r="O33" s="8"/>
    </row>
    <row r="34" spans="13:14">
      <c r="M34" s="23"/>
      <c r="N34" s="23"/>
    </row>
    <row r="41" spans="20:20">
      <c r="T41" s="53"/>
    </row>
    <row r="42" spans="20:20">
      <c r="T42" s="53"/>
    </row>
    <row r="43" spans="20:20">
      <c r="T43" s="53"/>
    </row>
    <row r="44" spans="20:20">
      <c r="T44" s="53"/>
    </row>
    <row r="45" spans="20:20">
      <c r="T45" s="53"/>
    </row>
    <row r="46" spans="20:20">
      <c r="T46" s="53"/>
    </row>
    <row r="47" spans="20:20">
      <c r="T47" s="53"/>
    </row>
  </sheetData>
  <sheetProtection selectLockedCells="1"/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GSI Helmholzzentrum für Schwerionenforschung mbH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ioncatcher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Weick, Helmut</dc:creator>
  <cp:lastModifiedBy>debodyutikar</cp:lastModifiedBy>
  <dcterms:created xsi:type="dcterms:W3CDTF">2018-04-18T10:15:00Z</dcterms:created>
  <dcterms:modified xsi:type="dcterms:W3CDTF">2025-03-31T16:59:08Z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1033-5.7.2.8094</vt:lpwstr>
  </property>
</Properties>
</file>