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dickel.CAMPUS\Desktop\"/>
    </mc:Choice>
  </mc:AlternateContent>
  <workbookProtection lockStructure="1"/>
  <bookViews>
    <workbookView xWindow="0" yWindow="0" windowWidth="23040" windowHeight="9192"/>
  </bookViews>
  <sheets>
    <sheet name="ioncatcher" sheetId="2" r:id="rId1"/>
  </sheets>
  <calcPr calcId="162913"/>
</workbook>
</file>

<file path=xl/calcChain.xml><?xml version="1.0" encoding="utf-8"?>
<calcChain xmlns="http://schemas.openxmlformats.org/spreadsheetml/2006/main">
  <c r="M25" i="2" l="1"/>
  <c r="R13" i="2" l="1"/>
  <c r="L24" i="2" l="1"/>
  <c r="K24" i="2"/>
  <c r="M26" i="2" l="1"/>
  <c r="L12" i="2" l="1"/>
  <c r="K12" i="2"/>
  <c r="D21" i="2" l="1"/>
  <c r="E21" i="2" s="1"/>
  <c r="F16" i="2"/>
  <c r="L13" i="2"/>
  <c r="K13" i="2"/>
  <c r="E16" i="2"/>
  <c r="D16" i="2"/>
  <c r="K14" i="2" l="1"/>
  <c r="J9" i="2"/>
  <c r="J12" i="2" s="1"/>
  <c r="J10" i="2"/>
  <c r="J13" i="2" s="1"/>
  <c r="D15" i="2"/>
  <c r="D24" i="2" s="1"/>
  <c r="E13" i="2"/>
  <c r="E15" i="2" s="1"/>
  <c r="F13" i="2"/>
  <c r="F15" i="2" s="1"/>
  <c r="C11" i="2"/>
  <c r="C12" i="2" s="1"/>
  <c r="J15" i="2" l="1"/>
  <c r="J14" i="2"/>
  <c r="L15" i="2"/>
  <c r="L14" i="2"/>
  <c r="K15" i="2"/>
  <c r="C13" i="2"/>
  <c r="C15" i="2" s="1"/>
  <c r="C16" i="2"/>
  <c r="K25" i="2" l="1"/>
</calcChain>
</file>

<file path=xl/sharedStrings.xml><?xml version="1.0" encoding="utf-8"?>
<sst xmlns="http://schemas.openxmlformats.org/spreadsheetml/2006/main" count="121" uniqueCount="73">
  <si>
    <t>mg/cm^2</t>
  </si>
  <si>
    <t>slope =</t>
  </si>
  <si>
    <t>mm</t>
  </si>
  <si>
    <t>dist =</t>
  </si>
  <si>
    <t>center =</t>
  </si>
  <si>
    <t>min =</t>
  </si>
  <si>
    <t>max =</t>
  </si>
  <si>
    <t>rho =</t>
  </si>
  <si>
    <t>mg/cm^3</t>
  </si>
  <si>
    <t>Kugler-1</t>
  </si>
  <si>
    <t>Kugler-2</t>
  </si>
  <si>
    <t>ESS</t>
  </si>
  <si>
    <t>Wedge plate degraders</t>
  </si>
  <si>
    <t>(Bad !!)</t>
  </si>
  <si>
    <t>Design</t>
  </si>
  <si>
    <t>center rho*d =</t>
  </si>
  <si>
    <t>data measured in GSI target lab (Birgit Kindler), fitted by Helmut Weick</t>
  </si>
  <si>
    <t>mm at Y=240mm</t>
  </si>
  <si>
    <t>center meas.=</t>
  </si>
  <si>
    <t>Wedge disk degraders</t>
  </si>
  <si>
    <t>material AlMg3</t>
  </si>
  <si>
    <t>g/cm^3</t>
  </si>
  <si>
    <t>cos(phi)</t>
  </si>
  <si>
    <t>phi [°]</t>
  </si>
  <si>
    <t>[~mrad]</t>
  </si>
  <si>
    <t>HFSED4</t>
  </si>
  <si>
    <t>thin edge on beam height =</t>
  </si>
  <si>
    <t>pos =</t>
  </si>
  <si>
    <t>full width: dy=500mm, dx=290mm</t>
  </si>
  <si>
    <t>drives as mounted on 27.11.2019</t>
  </si>
  <si>
    <t>drive name:</t>
  </si>
  <si>
    <t>drive  location:</t>
  </si>
  <si>
    <t>upper</t>
  </si>
  <si>
    <t>lower</t>
  </si>
  <si>
    <t>rho *x =</t>
  </si>
  <si>
    <t>sum rho*x =</t>
  </si>
  <si>
    <t>material AlMg3 (3%Mg)</t>
  </si>
  <si>
    <t>mean thickness =</t>
  </si>
  <si>
    <t xml:space="preserve"> = input</t>
  </si>
  <si>
    <t xml:space="preserve"> = output</t>
  </si>
  <si>
    <t>thick edge on beam height =</t>
  </si>
  <si>
    <t>out position =</t>
  </si>
  <si>
    <t xml:space="preserve">Degrader ladders </t>
  </si>
  <si>
    <t>HFSEM1GL</t>
  </si>
  <si>
    <t>HFSEM1GR</t>
  </si>
  <si>
    <t>order in beam:</t>
  </si>
  <si>
    <t>first</t>
  </si>
  <si>
    <t>second</t>
  </si>
  <si>
    <t>Ta plates and Al wedges</t>
  </si>
  <si>
    <t>moving direction:</t>
  </si>
  <si>
    <t>from below</t>
  </si>
  <si>
    <t>from top</t>
  </si>
  <si>
    <t>3.0 mm Ta homog.</t>
  </si>
  <si>
    <t>Thick edge of wedges on crane (=Messel) side.</t>
  </si>
  <si>
    <t xml:space="preserve"> = fixed measured parameters</t>
  </si>
  <si>
    <t>Ion catcher degrader calculator</t>
  </si>
  <si>
    <t>8 mm Al wedge (Keil-2), slope = 0.0175</t>
  </si>
  <si>
    <t>18 mm Al wedge (Keil-2), slope=0.01691</t>
  </si>
  <si>
    <t>HFSED5</t>
  </si>
  <si>
    <t>disks HFSED4_P , calculate degrader positions</t>
  </si>
  <si>
    <t>H. Weick, 15.12.2019</t>
  </si>
  <si>
    <t>empty</t>
  </si>
  <si>
    <t xml:space="preserve">1.5 mm Ta homog. </t>
  </si>
  <si>
    <t>D5 min is 42,5mm</t>
  </si>
  <si>
    <t>end2</t>
  </si>
  <si>
    <t>end1</t>
  </si>
  <si>
    <t>(Problem with decoder, use only if absolutly needed!)</t>
  </si>
  <si>
    <t>Pressure drive in/out = TS3ED7DP.</t>
  </si>
  <si>
    <t>attention: definition of slope (mrad) is opposite to LISE++ !</t>
  </si>
  <si>
    <t>(use same sign for the two discs)</t>
  </si>
  <si>
    <t xml:space="preserve"> phi&gt;0° means thicker on crane (=Messel) side…</t>
  </si>
  <si>
    <t>For full available vertical aperture on HFSEM1GL &amp; R choose the empty target position</t>
  </si>
  <si>
    <t>Update: TD 17.05.2022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</si>
</sst>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"/>
    <numFmt numFmtId="165" formatCode="0.0000"/>
    <numFmt numFmtId="166" formatCode="0.000"/>
    <numFmt numFmtId="167" formatCode="0.0"/>
    <numFmt numFmtId="168" formatCode="0.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horizontal="right"/>
    </xf>
    <xf numFmtId="164" fontId="0" fillId="0" borderId="0" xfId="0" applyNumberFormat="1"/>
    <xf numFmtId="0" fontId="0" fillId="4" borderId="0" xfId="0" applyFill="1"/>
    <xf numFmtId="0" fontId="1" fillId="0" borderId="0" xfId="0" applyFont="1"/>
    <xf numFmtId="0" fontId="0" fillId="0" borderId="0" xfId="0" applyAlignment="1">
      <alignment horizontal="center"/>
    </xf>
    <xf numFmtId="167" fontId="0" fillId="0" borderId="0" xfId="0" applyNumberFormat="1"/>
    <xf numFmtId="0" fontId="0" fillId="0" borderId="0" xfId="0" applyFill="1" applyBorder="1"/>
    <xf numFmtId="0" fontId="1" fillId="3" borderId="0" xfId="0" applyFont="1" applyFill="1"/>
    <xf numFmtId="0" fontId="0" fillId="0" borderId="0" xfId="0" applyFill="1"/>
    <xf numFmtId="0" fontId="0" fillId="0" borderId="0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8" fontId="0" fillId="0" borderId="0" xfId="0" applyNumberFormat="1" applyFill="1"/>
    <xf numFmtId="0" fontId="0" fillId="6" borderId="0" xfId="0" applyFill="1"/>
    <xf numFmtId="2" fontId="0" fillId="5" borderId="0" xfId="0" applyNumberFormat="1" applyFill="1"/>
    <xf numFmtId="0" fontId="1" fillId="0" borderId="0" xfId="0" applyFont="1" applyFill="1"/>
    <xf numFmtId="166" fontId="0" fillId="2" borderId="0" xfId="0" applyNumberFormat="1" applyFill="1"/>
    <xf numFmtId="0" fontId="0" fillId="2" borderId="0" xfId="0" applyFill="1"/>
    <xf numFmtId="164" fontId="0" fillId="2" borderId="0" xfId="0" applyNumberFormat="1" applyFill="1"/>
    <xf numFmtId="165" fontId="0" fillId="2" borderId="0" xfId="0" applyNumberFormat="1" applyFill="1"/>
    <xf numFmtId="0" fontId="0" fillId="0" borderId="0" xfId="0" applyFont="1" applyFill="1"/>
    <xf numFmtId="0" fontId="0" fillId="0" borderId="0" xfId="0" applyFont="1" applyFill="1" applyAlignment="1">
      <alignment horizontal="right"/>
    </xf>
    <xf numFmtId="167" fontId="0" fillId="5" borderId="0" xfId="0" applyNumberFormat="1" applyFill="1"/>
    <xf numFmtId="2" fontId="0" fillId="0" borderId="0" xfId="0" applyNumberFormat="1" applyFill="1"/>
    <xf numFmtId="165" fontId="0" fillId="0" borderId="0" xfId="0" applyNumberFormat="1" applyFill="1" applyBorder="1"/>
    <xf numFmtId="168" fontId="0" fillId="0" borderId="0" xfId="0" applyNumberFormat="1" applyFill="1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6" borderId="0" xfId="0" applyFont="1" applyFill="1"/>
    <xf numFmtId="164" fontId="0" fillId="6" borderId="0" xfId="0" applyNumberFormat="1" applyFill="1"/>
    <xf numFmtId="0" fontId="2" fillId="6" borderId="0" xfId="0" applyFont="1" applyFill="1"/>
    <xf numFmtId="165" fontId="0" fillId="6" borderId="0" xfId="0" applyNumberFormat="1" applyFill="1"/>
    <xf numFmtId="167" fontId="0" fillId="6" borderId="0" xfId="0" applyNumberFormat="1" applyFill="1"/>
    <xf numFmtId="2" fontId="0" fillId="6" borderId="0" xfId="0" applyNumberFormat="1" applyFill="1"/>
    <xf numFmtId="167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3" fillId="0" borderId="0" xfId="0" applyFont="1"/>
    <xf numFmtId="0" fontId="1" fillId="0" borderId="0" xfId="0" applyFont="1" applyFill="1" applyAlignment="1">
      <alignment horizontal="center"/>
    </xf>
    <xf numFmtId="0" fontId="2" fillId="2" borderId="0" xfId="0" applyFont="1" applyFill="1"/>
    <xf numFmtId="167" fontId="0" fillId="6" borderId="0" xfId="0" applyNumberFormat="1" applyFill="1" applyAlignment="1">
      <alignment horizontal="right"/>
    </xf>
    <xf numFmtId="0" fontId="0" fillId="6" borderId="0" xfId="0" applyFill="1" applyAlignment="1">
      <alignment horizontal="right"/>
    </xf>
    <xf numFmtId="0" fontId="0" fillId="4" borderId="0" xfId="0" applyFill="1" applyProtection="1">
      <protection locked="0"/>
    </xf>
    <xf numFmtId="167" fontId="0" fillId="4" borderId="0" xfId="0" applyNumberFormat="1" applyFill="1" applyProtection="1">
      <protection locked="0"/>
    </xf>
    <xf numFmtId="0" fontId="4" fillId="0" borderId="0" xfId="0" applyFont="1" applyAlignment="1">
      <alignment horizontal="right"/>
    </xf>
    <xf numFmtId="0" fontId="4" fillId="0" borderId="1" xfId="0" applyFont="1" applyBorder="1" applyAlignment="1">
      <alignment horizontal="center"/>
    </xf>
    <xf numFmtId="0" fontId="5" fillId="0" borderId="0" xfId="0" applyFont="1"/>
    <xf numFmtId="164" fontId="5" fillId="6" borderId="0" xfId="0" applyNumberFormat="1" applyFont="1" applyFill="1"/>
    <xf numFmtId="165" fontId="5" fillId="6" borderId="0" xfId="0" applyNumberFormat="1" applyFont="1" applyFill="1"/>
    <xf numFmtId="0" fontId="5" fillId="0" borderId="0" xfId="0" applyFont="1" applyFill="1"/>
    <xf numFmtId="0" fontId="0" fillId="3" borderId="0" xfId="0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542925</xdr:colOff>
      <xdr:row>2</xdr:row>
      <xdr:rowOff>19050</xdr:rowOff>
    </xdr:from>
    <xdr:to>
      <xdr:col>30</xdr:col>
      <xdr:colOff>418582</xdr:colOff>
      <xdr:row>31</xdr:row>
      <xdr:rowOff>104074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5200" y="400050"/>
          <a:ext cx="4142857" cy="5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27</xdr:row>
      <xdr:rowOff>190499</xdr:rowOff>
    </xdr:from>
    <xdr:to>
      <xdr:col>5</xdr:col>
      <xdr:colOff>195264</xdr:colOff>
      <xdr:row>35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" y="5333999"/>
          <a:ext cx="2528889" cy="1457326"/>
        </a:xfrm>
        <a:prstGeom prst="rect">
          <a:avLst/>
        </a:prstGeom>
      </xdr:spPr>
    </xdr:pic>
    <xdr:clientData/>
  </xdr:twoCellAnchor>
  <xdr:twoCellAnchor>
    <xdr:from>
      <xdr:col>6</xdr:col>
      <xdr:colOff>519263</xdr:colOff>
      <xdr:row>27</xdr:row>
      <xdr:rowOff>109386</xdr:rowOff>
    </xdr:from>
    <xdr:to>
      <xdr:col>20</xdr:col>
      <xdr:colOff>203886</xdr:colOff>
      <xdr:row>59</xdr:row>
      <xdr:rowOff>3862</xdr:rowOff>
    </xdr:to>
    <xdr:grpSp>
      <xdr:nvGrpSpPr>
        <xdr:cNvPr id="10" name="Gruppieren 9"/>
        <xdr:cNvGrpSpPr/>
      </xdr:nvGrpSpPr>
      <xdr:grpSpPr>
        <a:xfrm>
          <a:off x="4443563" y="5047146"/>
          <a:ext cx="8760043" cy="5746636"/>
          <a:chOff x="4348313" y="5129061"/>
          <a:chExt cx="8419048" cy="5990476"/>
        </a:xfrm>
      </xdr:grpSpPr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5400000">
            <a:off x="5562599" y="3914775"/>
            <a:ext cx="5990476" cy="8419048"/>
          </a:xfrm>
          <a:prstGeom prst="rect">
            <a:avLst/>
          </a:prstGeom>
        </xdr:spPr>
      </xdr:pic>
      <xdr:sp macro="" textlink="">
        <xdr:nvSpPr>
          <xdr:cNvPr id="5" name="Textfeld 4"/>
          <xdr:cNvSpPr txBox="1"/>
        </xdr:nvSpPr>
        <xdr:spPr>
          <a:xfrm>
            <a:off x="12020550" y="9191625"/>
            <a:ext cx="581025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de-DE" sz="1100"/>
              <a:t>42.7</a:t>
            </a:r>
          </a:p>
        </xdr:txBody>
      </xdr:sp>
      <xdr:sp macro="" textlink="">
        <xdr:nvSpPr>
          <xdr:cNvPr id="6" name="Textfeld 5"/>
          <xdr:cNvSpPr txBox="1"/>
        </xdr:nvSpPr>
        <xdr:spPr>
          <a:xfrm>
            <a:off x="11020425" y="5448300"/>
            <a:ext cx="666750" cy="609013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de-DE" sz="1100"/>
              <a:t>Out (max to the top)</a:t>
            </a:r>
          </a:p>
        </xdr:txBody>
      </xdr:sp>
      <xdr:sp macro="" textlink="">
        <xdr:nvSpPr>
          <xdr:cNvPr id="7" name="Textfeld 6"/>
          <xdr:cNvSpPr txBox="1"/>
        </xdr:nvSpPr>
        <xdr:spPr>
          <a:xfrm>
            <a:off x="11858625" y="5457825"/>
            <a:ext cx="676275" cy="78124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de-DE" sz="1100"/>
              <a:t>minimal in (max to bottom)</a:t>
            </a:r>
          </a:p>
        </xdr:txBody>
      </xdr:sp>
      <xdr:sp macro="" textlink="">
        <xdr:nvSpPr>
          <xdr:cNvPr id="8" name="Textfeld 7"/>
          <xdr:cNvSpPr txBox="1"/>
        </xdr:nvSpPr>
        <xdr:spPr>
          <a:xfrm>
            <a:off x="5162550" y="5162550"/>
            <a:ext cx="666750" cy="609013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de-DE" sz="1100"/>
              <a:t>Out (max to the top)</a:t>
            </a:r>
          </a:p>
        </xdr:txBody>
      </xdr:sp>
      <xdr:sp macro="" textlink="">
        <xdr:nvSpPr>
          <xdr:cNvPr id="9" name="Textfeld 8"/>
          <xdr:cNvSpPr txBox="1"/>
        </xdr:nvSpPr>
        <xdr:spPr>
          <a:xfrm>
            <a:off x="7496175" y="5429250"/>
            <a:ext cx="666750" cy="78124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de-DE" sz="1100"/>
              <a:t>Max in (max to the bottom)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8"/>
  <sheetViews>
    <sheetView tabSelected="1" workbookViewId="0">
      <selection activeCell="C7" sqref="C7"/>
    </sheetView>
  </sheetViews>
  <sheetFormatPr baseColWidth="10" defaultColWidth="9.109375" defaultRowHeight="14.4" x14ac:dyDescent="0.3"/>
  <cols>
    <col min="3" max="4" width="10.109375" customWidth="1"/>
    <col min="5" max="5" width="9.6640625" customWidth="1"/>
    <col min="18" max="18" width="10.88671875" customWidth="1"/>
    <col min="19" max="19" width="10.109375" customWidth="1"/>
    <col min="20" max="20" width="11.109375" customWidth="1"/>
  </cols>
  <sheetData>
    <row r="1" spans="2:19" x14ac:dyDescent="0.3">
      <c r="B1" t="s">
        <v>60</v>
      </c>
      <c r="D1" t="s">
        <v>72</v>
      </c>
      <c r="J1" s="15"/>
      <c r="K1" t="s">
        <v>54</v>
      </c>
    </row>
    <row r="2" spans="2:19" x14ac:dyDescent="0.3">
      <c r="B2" s="8" t="s">
        <v>55</v>
      </c>
      <c r="C2" s="8"/>
      <c r="D2" s="8"/>
      <c r="E2" s="17"/>
      <c r="J2" s="3"/>
      <c r="K2" t="s">
        <v>38</v>
      </c>
    </row>
    <row r="3" spans="2:19" s="9" customFormat="1" x14ac:dyDescent="0.3">
      <c r="B3" s="22" t="s">
        <v>16</v>
      </c>
      <c r="C3" s="17"/>
      <c r="D3" s="17"/>
      <c r="E3" s="17"/>
      <c r="J3" s="29"/>
      <c r="K3" t="s">
        <v>39</v>
      </c>
      <c r="Q3" s="28" t="s">
        <v>29</v>
      </c>
    </row>
    <row r="4" spans="2:19" x14ac:dyDescent="0.3">
      <c r="Q4" s="4" t="s">
        <v>42</v>
      </c>
    </row>
    <row r="5" spans="2:19" x14ac:dyDescent="0.3">
      <c r="B5" s="4" t="s">
        <v>19</v>
      </c>
      <c r="I5" s="4" t="s">
        <v>12</v>
      </c>
      <c r="J5" s="9"/>
      <c r="K5" s="9"/>
      <c r="L5" s="9"/>
      <c r="M5" s="9"/>
      <c r="N5" s="9"/>
      <c r="O5" s="9"/>
      <c r="Q5" t="s">
        <v>48</v>
      </c>
    </row>
    <row r="6" spans="2:19" x14ac:dyDescent="0.3">
      <c r="B6" s="22" t="s">
        <v>20</v>
      </c>
      <c r="C6" s="22"/>
      <c r="D6" s="23" t="s">
        <v>7</v>
      </c>
      <c r="E6" s="30">
        <v>2.67</v>
      </c>
      <c r="F6" s="22" t="s">
        <v>21</v>
      </c>
      <c r="I6" t="s">
        <v>28</v>
      </c>
    </row>
    <row r="7" spans="2:19" x14ac:dyDescent="0.3">
      <c r="B7" s="4"/>
      <c r="F7" s="46" t="s">
        <v>13</v>
      </c>
      <c r="I7" t="s">
        <v>36</v>
      </c>
      <c r="Q7" s="28" t="s">
        <v>29</v>
      </c>
    </row>
    <row r="8" spans="2:19" x14ac:dyDescent="0.3">
      <c r="B8" s="13"/>
      <c r="C8" s="12" t="s">
        <v>14</v>
      </c>
      <c r="D8" s="12" t="s">
        <v>11</v>
      </c>
      <c r="E8" s="12" t="s">
        <v>10</v>
      </c>
      <c r="F8" s="47" t="s">
        <v>9</v>
      </c>
      <c r="J8" s="12" t="s">
        <v>14</v>
      </c>
      <c r="K8" s="12" t="s">
        <v>9</v>
      </c>
      <c r="L8" s="12" t="s">
        <v>10</v>
      </c>
      <c r="Q8" s="28"/>
      <c r="R8" s="4" t="s">
        <v>43</v>
      </c>
      <c r="S8" s="39" t="s">
        <v>66</v>
      </c>
    </row>
    <row r="9" spans="2:19" x14ac:dyDescent="0.3">
      <c r="B9" s="1" t="s">
        <v>5</v>
      </c>
      <c r="C9" s="18">
        <v>0.5</v>
      </c>
      <c r="F9" s="48"/>
      <c r="G9" t="s">
        <v>2</v>
      </c>
      <c r="I9" s="1" t="s">
        <v>18</v>
      </c>
      <c r="J9" s="18">
        <f>(8+0.5)/2</f>
        <v>4.25</v>
      </c>
      <c r="K9" s="33">
        <v>4.3594818801899651</v>
      </c>
      <c r="L9" s="33">
        <v>4.3361302455915816</v>
      </c>
      <c r="M9" t="s">
        <v>17</v>
      </c>
      <c r="Q9" s="1" t="s">
        <v>45</v>
      </c>
      <c r="R9" s="1" t="s">
        <v>46</v>
      </c>
    </row>
    <row r="10" spans="2:19" x14ac:dyDescent="0.3">
      <c r="B10" s="1" t="s">
        <v>6</v>
      </c>
      <c r="C10" s="19">
        <v>3.2170000000000001</v>
      </c>
      <c r="F10" s="48"/>
      <c r="G10" t="s">
        <v>2</v>
      </c>
      <c r="I10" s="1" t="s">
        <v>1</v>
      </c>
      <c r="J10" s="20">
        <f>(8-0.5)/500</f>
        <v>1.4999999999999999E-2</v>
      </c>
      <c r="K10" s="31">
        <v>1.49567230830765E-2</v>
      </c>
      <c r="L10" s="31">
        <v>1.49903118767613E-2</v>
      </c>
      <c r="Q10" s="1" t="s">
        <v>49</v>
      </c>
      <c r="R10" s="28" t="s">
        <v>50</v>
      </c>
    </row>
    <row r="11" spans="2:19" x14ac:dyDescent="0.3">
      <c r="B11" s="1" t="s">
        <v>3</v>
      </c>
      <c r="C11" s="19">
        <f>310/2+140</f>
        <v>295</v>
      </c>
      <c r="F11" s="48"/>
      <c r="G11" t="s">
        <v>2</v>
      </c>
      <c r="I11" s="1" t="s">
        <v>7</v>
      </c>
      <c r="J11" s="15">
        <v>2670</v>
      </c>
      <c r="K11" t="s">
        <v>8</v>
      </c>
      <c r="M11" s="5"/>
      <c r="Q11" s="1" t="s">
        <v>27</v>
      </c>
      <c r="R11" s="43">
        <v>-0.1</v>
      </c>
      <c r="S11" s="28" t="s">
        <v>65</v>
      </c>
    </row>
    <row r="12" spans="2:19" x14ac:dyDescent="0.3">
      <c r="B12" s="1" t="s">
        <v>1</v>
      </c>
      <c r="C12" s="14">
        <f>(C10-C9)/C11</f>
        <v>9.2101694915254235E-3</v>
      </c>
      <c r="D12" s="31">
        <v>9.2420000000000002E-3</v>
      </c>
      <c r="E12" s="15">
        <v>9.2200000000000008E-3</v>
      </c>
      <c r="F12" s="49">
        <v>9.1830000000000002E-3</v>
      </c>
      <c r="I12" s="1" t="s">
        <v>15</v>
      </c>
      <c r="J12" s="25">
        <f>$J$11*J9/10</f>
        <v>1134.75</v>
      </c>
      <c r="K12" s="36">
        <f>$J$11*K9/10</f>
        <v>1163.9816620107208</v>
      </c>
      <c r="L12" s="36">
        <f>$J$11*L9/10</f>
        <v>1157.7467755729524</v>
      </c>
      <c r="M12" t="s">
        <v>0</v>
      </c>
      <c r="Q12" s="1" t="s">
        <v>27</v>
      </c>
      <c r="R12" s="42">
        <v>-264.2</v>
      </c>
      <c r="S12" s="28" t="s">
        <v>56</v>
      </c>
    </row>
    <row r="13" spans="2:19" x14ac:dyDescent="0.3">
      <c r="B13" s="1" t="s">
        <v>4</v>
      </c>
      <c r="C13" s="21">
        <f>C9+140*C12</f>
        <v>1.7894237288135593</v>
      </c>
      <c r="D13" s="32">
        <v>1.806</v>
      </c>
      <c r="E13" s="33">
        <f>510/267</f>
        <v>1.9101123595505618</v>
      </c>
      <c r="F13" s="50">
        <f>529.9/267</f>
        <v>1.9846441947565543</v>
      </c>
      <c r="G13" t="s">
        <v>2</v>
      </c>
      <c r="I13" s="1" t="s">
        <v>1</v>
      </c>
      <c r="J13" s="25">
        <f>J10*$C$14</f>
        <v>40.049999999999997</v>
      </c>
      <c r="K13" s="25">
        <f>K10*$C$14</f>
        <v>39.934450631814258</v>
      </c>
      <c r="L13" s="25">
        <f>L10*$C$14</f>
        <v>40.024132710952671</v>
      </c>
      <c r="M13" t="s">
        <v>8</v>
      </c>
      <c r="Q13" s="1" t="s">
        <v>27</v>
      </c>
      <c r="R13" s="43">
        <f>-461.6</f>
        <v>-461.6</v>
      </c>
      <c r="S13" s="28" t="s">
        <v>61</v>
      </c>
    </row>
    <row r="14" spans="2:19" x14ac:dyDescent="0.3">
      <c r="B14" s="1" t="s">
        <v>7</v>
      </c>
      <c r="C14" s="15">
        <v>2670</v>
      </c>
      <c r="F14" s="48"/>
      <c r="G14" t="s">
        <v>8</v>
      </c>
      <c r="I14" s="1" t="s">
        <v>5</v>
      </c>
      <c r="J14" s="6">
        <f>J12-25*J13</f>
        <v>133.50000000000011</v>
      </c>
      <c r="K14" s="6">
        <f>K12-25*K13</f>
        <v>165.62039621536439</v>
      </c>
      <c r="L14" s="6">
        <f t="shared" ref="L14" si="0">L12-25*L13</f>
        <v>157.1434577991356</v>
      </c>
      <c r="M14" t="s">
        <v>0</v>
      </c>
      <c r="Q14" s="1" t="s">
        <v>27</v>
      </c>
      <c r="R14" s="43">
        <v>-635.70000000000005</v>
      </c>
      <c r="S14" s="28" t="s">
        <v>62</v>
      </c>
    </row>
    <row r="15" spans="2:19" x14ac:dyDescent="0.3">
      <c r="B15" s="1" t="s">
        <v>15</v>
      </c>
      <c r="C15" s="25">
        <f>$C$14*C13/10</f>
        <v>477.77613559322037</v>
      </c>
      <c r="D15" s="34">
        <f>$C$14*D13/10</f>
        <v>482.20200000000006</v>
      </c>
      <c r="E15" s="34">
        <f>$C$14*E13/10</f>
        <v>510</v>
      </c>
      <c r="F15" s="51">
        <f>$C$14*F13/10</f>
        <v>529.9</v>
      </c>
      <c r="G15" t="s">
        <v>0</v>
      </c>
      <c r="I15" s="1" t="s">
        <v>6</v>
      </c>
      <c r="J15" s="6">
        <f>J12+25*J13</f>
        <v>2136</v>
      </c>
      <c r="K15" s="6">
        <f t="shared" ref="K15:L15" si="1">K12+25*K13</f>
        <v>2162.3429278060771</v>
      </c>
      <c r="L15" s="6">
        <f t="shared" si="1"/>
        <v>2158.3500933467694</v>
      </c>
      <c r="M15" t="s">
        <v>0</v>
      </c>
      <c r="Q15" s="1" t="s">
        <v>27</v>
      </c>
      <c r="R15" s="43">
        <v>-800</v>
      </c>
      <c r="S15" s="28" t="s">
        <v>64</v>
      </c>
    </row>
    <row r="16" spans="2:19" x14ac:dyDescent="0.3">
      <c r="B16" s="1" t="s">
        <v>1</v>
      </c>
      <c r="C16" s="25">
        <f>C12*$C$14</f>
        <v>24.591152542372882</v>
      </c>
      <c r="D16" s="35">
        <f>D12*$C$14</f>
        <v>24.67614</v>
      </c>
      <c r="E16" s="35">
        <f>E12*$C$14</f>
        <v>24.617400000000004</v>
      </c>
      <c r="F16" s="51">
        <f>$C$14*F14/10</f>
        <v>0</v>
      </c>
      <c r="G16" t="s">
        <v>8</v>
      </c>
    </row>
    <row r="17" spans="2:24" x14ac:dyDescent="0.3">
      <c r="I17" s="28" t="s">
        <v>29</v>
      </c>
      <c r="R17" s="11" t="s">
        <v>44</v>
      </c>
      <c r="U17" s="1"/>
    </row>
    <row r="18" spans="2:24" x14ac:dyDescent="0.3">
      <c r="B18" s="28" t="s">
        <v>29</v>
      </c>
      <c r="I18" s="1" t="s">
        <v>31</v>
      </c>
      <c r="J18" s="1" t="s">
        <v>31</v>
      </c>
      <c r="K18" s="5" t="s">
        <v>32</v>
      </c>
      <c r="L18" s="5" t="s">
        <v>33</v>
      </c>
      <c r="N18" s="1"/>
      <c r="Q18" s="1" t="s">
        <v>45</v>
      </c>
      <c r="R18" s="1" t="s">
        <v>47</v>
      </c>
    </row>
    <row r="19" spans="2:24" x14ac:dyDescent="0.3">
      <c r="B19" s="4" t="s">
        <v>59</v>
      </c>
      <c r="I19" s="1" t="s">
        <v>30</v>
      </c>
      <c r="J19" s="1" t="s">
        <v>30</v>
      </c>
      <c r="K19" s="11" t="s">
        <v>25</v>
      </c>
      <c r="L19" s="11" t="s">
        <v>58</v>
      </c>
      <c r="N19" s="1"/>
      <c r="Q19" s="1" t="s">
        <v>49</v>
      </c>
      <c r="R19" s="1" t="s">
        <v>51</v>
      </c>
    </row>
    <row r="20" spans="2:24" x14ac:dyDescent="0.3">
      <c r="C20" s="27" t="s">
        <v>24</v>
      </c>
      <c r="D20" s="5" t="s">
        <v>22</v>
      </c>
      <c r="E20" s="5" t="s">
        <v>23</v>
      </c>
      <c r="I20" s="1"/>
      <c r="J20" s="1" t="s">
        <v>41</v>
      </c>
      <c r="K20" s="41">
        <v>83.7</v>
      </c>
      <c r="L20" s="41">
        <v>587.70000000000005</v>
      </c>
      <c r="M20" t="s">
        <v>2</v>
      </c>
      <c r="N20" s="1"/>
      <c r="Q20" s="1" t="s">
        <v>27</v>
      </c>
      <c r="R20" s="15">
        <v>-0.1</v>
      </c>
      <c r="S20" s="28" t="s">
        <v>65</v>
      </c>
    </row>
    <row r="21" spans="2:24" x14ac:dyDescent="0.3">
      <c r="B21" s="5" t="s">
        <v>1</v>
      </c>
      <c r="C21" s="45">
        <v>-5</v>
      </c>
      <c r="D21" s="2">
        <f>C21/1000/(D12+E12)</f>
        <v>-0.27082656266926664</v>
      </c>
      <c r="E21" s="16">
        <f>ACOS(D21)*180/PI()-90</f>
        <v>15.713458056618819</v>
      </c>
      <c r="J21" s="1" t="s">
        <v>26</v>
      </c>
      <c r="K21" s="19">
        <v>8</v>
      </c>
      <c r="L21" s="19">
        <v>0.5</v>
      </c>
      <c r="M21" t="s">
        <v>2</v>
      </c>
      <c r="N21" s="1"/>
      <c r="Q21" s="1" t="s">
        <v>27</v>
      </c>
      <c r="R21" s="43">
        <v>149.69999999999999</v>
      </c>
      <c r="S21" s="28" t="s">
        <v>57</v>
      </c>
    </row>
    <row r="22" spans="2:24" x14ac:dyDescent="0.3">
      <c r="B22" t="s">
        <v>69</v>
      </c>
      <c r="J22" s="1" t="s">
        <v>40</v>
      </c>
      <c r="K22">
        <v>-451</v>
      </c>
      <c r="L22">
        <v>500.9</v>
      </c>
      <c r="M22" t="s">
        <v>2</v>
      </c>
      <c r="Q22" s="1" t="s">
        <v>27</v>
      </c>
      <c r="R22" s="43">
        <v>351.9</v>
      </c>
      <c r="S22" s="28" t="s">
        <v>52</v>
      </c>
    </row>
    <row r="23" spans="2:24" x14ac:dyDescent="0.3">
      <c r="B23" t="s">
        <v>70</v>
      </c>
      <c r="J23" s="1" t="s">
        <v>27</v>
      </c>
      <c r="K23" s="44">
        <v>-100</v>
      </c>
      <c r="L23" s="3">
        <v>187</v>
      </c>
      <c r="M23" t="s">
        <v>2</v>
      </c>
      <c r="N23" t="s">
        <v>63</v>
      </c>
      <c r="Q23" s="1" t="s">
        <v>27</v>
      </c>
      <c r="R23" s="34">
        <v>524.20000000000005</v>
      </c>
      <c r="S23" t="s">
        <v>61</v>
      </c>
    </row>
    <row r="24" spans="2:24" x14ac:dyDescent="0.3">
      <c r="B24" s="1"/>
      <c r="C24" s="1" t="s">
        <v>37</v>
      </c>
      <c r="D24" s="24">
        <f>D15+E15</f>
        <v>992.202</v>
      </c>
      <c r="E24" t="s">
        <v>0</v>
      </c>
      <c r="J24" s="1" t="s">
        <v>34</v>
      </c>
      <c r="K24" s="6">
        <f>(-K23+K21)*K10*J11/10+K14</f>
        <v>596.91246303895832</v>
      </c>
      <c r="L24" s="6">
        <f>(L23-L21)*L10*J11/10+L14</f>
        <v>903.59353285840291</v>
      </c>
      <c r="M24" t="s">
        <v>0</v>
      </c>
      <c r="Q24" s="1" t="s">
        <v>27</v>
      </c>
      <c r="R24" s="43">
        <v>800</v>
      </c>
      <c r="S24" s="28" t="s">
        <v>64</v>
      </c>
    </row>
    <row r="25" spans="2:24" x14ac:dyDescent="0.3">
      <c r="B25" s="8" t="s">
        <v>68</v>
      </c>
      <c r="C25" s="52"/>
      <c r="D25" s="52"/>
      <c r="E25" s="52"/>
      <c r="F25" s="52"/>
      <c r="G25" s="52"/>
      <c r="J25" s="1" t="s">
        <v>35</v>
      </c>
      <c r="K25" s="24">
        <f>L24+K24</f>
        <v>1500.5059958973611</v>
      </c>
      <c r="L25" t="s">
        <v>0</v>
      </c>
      <c r="M25" s="39" t="str">
        <f>IF(-K23+L23&lt;50,"warning little overlap of plates","")</f>
        <v/>
      </c>
    </row>
    <row r="26" spans="2:24" x14ac:dyDescent="0.3">
      <c r="B26" t="s">
        <v>67</v>
      </c>
      <c r="M26" s="39" t="str">
        <f>IF(K23&gt;450,"warning close to upper edge","")</f>
        <v/>
      </c>
      <c r="Q26" t="s">
        <v>53</v>
      </c>
    </row>
    <row r="27" spans="2:24" x14ac:dyDescent="0.3">
      <c r="Q27" t="s">
        <v>71</v>
      </c>
    </row>
    <row r="28" spans="2:24" x14ac:dyDescent="0.3">
      <c r="G28" s="6"/>
      <c r="H28" s="9"/>
      <c r="I28" s="9"/>
      <c r="J28" s="9"/>
      <c r="K28" s="9"/>
      <c r="L28" s="9"/>
      <c r="M28" s="37"/>
      <c r="N28" s="7"/>
    </row>
    <row r="29" spans="2:24" x14ac:dyDescent="0.3">
      <c r="H29" s="9"/>
      <c r="I29" s="9"/>
      <c r="J29" s="9"/>
      <c r="K29" s="37"/>
      <c r="L29" s="37"/>
      <c r="M29" s="37"/>
      <c r="O29" s="7"/>
    </row>
    <row r="30" spans="2:24" x14ac:dyDescent="0.3">
      <c r="H30" s="9"/>
      <c r="I30" s="37"/>
      <c r="J30" s="36"/>
      <c r="K30" s="36"/>
      <c r="L30" s="36"/>
      <c r="M30" s="25"/>
      <c r="O30" s="38"/>
    </row>
    <row r="31" spans="2:24" x14ac:dyDescent="0.3">
      <c r="H31" s="9"/>
      <c r="I31" s="9"/>
      <c r="J31" s="37"/>
      <c r="K31" s="37"/>
      <c r="L31" s="9"/>
      <c r="M31" s="9"/>
      <c r="O31" s="38"/>
      <c r="X31" s="5"/>
    </row>
    <row r="32" spans="2:24" x14ac:dyDescent="0.3">
      <c r="H32" s="37"/>
      <c r="I32" s="38"/>
      <c r="J32" s="36"/>
      <c r="K32" s="40"/>
      <c r="L32" s="9"/>
      <c r="M32" s="9"/>
      <c r="O32" s="9"/>
    </row>
    <row r="33" spans="8:20" x14ac:dyDescent="0.3">
      <c r="H33" s="5"/>
      <c r="O33" s="38"/>
    </row>
    <row r="34" spans="8:20" x14ac:dyDescent="0.3">
      <c r="M34" s="10"/>
      <c r="N34" s="10"/>
    </row>
    <row r="35" spans="8:20" x14ac:dyDescent="0.3">
      <c r="M35" s="7"/>
      <c r="N35" s="7"/>
    </row>
    <row r="36" spans="8:20" x14ac:dyDescent="0.3">
      <c r="M36" s="7"/>
      <c r="N36" s="7"/>
    </row>
    <row r="37" spans="8:20" x14ac:dyDescent="0.3">
      <c r="M37" s="7"/>
      <c r="N37" s="7"/>
    </row>
    <row r="38" spans="8:20" x14ac:dyDescent="0.3">
      <c r="M38" s="7"/>
      <c r="N38" s="7"/>
    </row>
    <row r="39" spans="8:20" x14ac:dyDescent="0.3">
      <c r="M39" s="7"/>
      <c r="N39" s="7"/>
    </row>
    <row r="40" spans="8:20" x14ac:dyDescent="0.3">
      <c r="M40" s="7"/>
      <c r="N40" s="7"/>
    </row>
    <row r="41" spans="8:20" x14ac:dyDescent="0.3">
      <c r="M41" s="7"/>
      <c r="N41" s="7"/>
      <c r="O41" s="7"/>
      <c r="P41" s="7"/>
      <c r="Q41" s="7"/>
      <c r="R41" s="7"/>
      <c r="S41" s="7"/>
      <c r="T41" s="26"/>
    </row>
    <row r="42" spans="8:20" x14ac:dyDescent="0.3">
      <c r="M42" s="7"/>
      <c r="N42" s="7"/>
      <c r="O42" s="7"/>
      <c r="P42" s="7"/>
      <c r="Q42" s="7"/>
      <c r="R42" s="7"/>
      <c r="S42" s="7"/>
      <c r="T42" s="26"/>
    </row>
    <row r="43" spans="8:20" x14ac:dyDescent="0.3">
      <c r="M43" s="7"/>
      <c r="N43" s="7"/>
      <c r="O43" s="7"/>
      <c r="P43" s="7"/>
      <c r="Q43" s="7"/>
      <c r="R43" s="7"/>
      <c r="S43" s="7"/>
      <c r="T43" s="26"/>
    </row>
    <row r="44" spans="8:20" x14ac:dyDescent="0.3">
      <c r="M44" s="7"/>
      <c r="N44" s="7"/>
      <c r="O44" s="7"/>
      <c r="P44" s="7"/>
      <c r="Q44" s="7"/>
      <c r="R44" s="7"/>
      <c r="S44" s="7"/>
      <c r="T44" s="26"/>
    </row>
    <row r="45" spans="8:20" x14ac:dyDescent="0.3">
      <c r="M45" s="7"/>
      <c r="N45" s="7"/>
      <c r="O45" s="7"/>
      <c r="P45" s="7"/>
      <c r="Q45" s="7"/>
      <c r="R45" s="7"/>
      <c r="S45" s="7"/>
      <c r="T45" s="26"/>
    </row>
    <row r="46" spans="8:20" x14ac:dyDescent="0.3">
      <c r="M46" s="7"/>
      <c r="N46" s="7"/>
      <c r="O46" s="7"/>
      <c r="P46" s="7"/>
      <c r="Q46" s="7"/>
      <c r="R46" s="7"/>
      <c r="S46" s="7"/>
      <c r="T46" s="26"/>
    </row>
    <row r="47" spans="8:20" x14ac:dyDescent="0.3">
      <c r="M47" s="7"/>
      <c r="N47" s="7"/>
      <c r="O47" s="7"/>
      <c r="P47" s="7"/>
      <c r="Q47" s="7"/>
      <c r="R47" s="7"/>
      <c r="S47" s="7"/>
      <c r="T47" s="26"/>
    </row>
    <row r="48" spans="8:20" x14ac:dyDescent="0.3">
      <c r="M48" s="7"/>
      <c r="N48" s="7"/>
      <c r="O48" s="7"/>
      <c r="P48" s="7"/>
      <c r="Q48" s="7"/>
      <c r="R48" s="7"/>
      <c r="S48" s="7"/>
      <c r="T48" s="7"/>
    </row>
  </sheetData>
  <sheetProtection selectLockedCell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ioncatcher</vt:lpstr>
    </vt:vector>
  </TitlesOfParts>
  <Company>GSI Helmholzzentrum für Schwerionenforschung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Weick, Helmut</dc:creator>
  <cp:lastModifiedBy>Dickel, Timo Dr.</cp:lastModifiedBy>
  <dcterms:created xsi:type="dcterms:W3CDTF">2018-04-18T08:15:27Z</dcterms:created>
  <dcterms:modified xsi:type="dcterms:W3CDTF">2022-05-17T10:44:28Z</dcterms:modified>
</cp:coreProperties>
</file>